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4"/>
  <workbookPr defaultThemeVersion="202300"/>
  <mc:AlternateContent xmlns:mc="http://schemas.openxmlformats.org/markup-compatibility/2006">
    <mc:Choice Requires="x15">
      <x15ac:absPath xmlns:x15ac="http://schemas.microsoft.com/office/spreadsheetml/2010/11/ac" url="https://d.docs.live.net/270fb06e968324b1/Knowledge/"/>
    </mc:Choice>
  </mc:AlternateContent>
  <xr:revisionPtr revIDLastSave="63" documentId="8_{62E4B8DA-AE36-4A95-8E6C-7527F78D432B}" xr6:coauthVersionLast="47" xr6:coauthVersionMax="47" xr10:uidLastSave="{CD50486D-C3CC-407E-A4BD-C555872D4876}"/>
  <bookViews>
    <workbookView xWindow="-120" yWindow="-120" windowWidth="29040" windowHeight="15720" xr2:uid="{FA9774ED-18E4-4DEA-9596-81B8D4394C63}"/>
  </bookViews>
  <sheets>
    <sheet name="How to Use" sheetId="1" r:id="rId1"/>
    <sheet name="Data Entry" sheetId="2" r:id="rId2"/>
    <sheet name="Standard Deviation" sheetId="3" r:id="rId3"/>
    <sheet name="Process Capability" sheetId="4" r:id="rId4"/>
    <sheet name="DPMO · DPM · DPU" sheetId="5" r:id="rId5"/>
    <sheet name="Sigma Level"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29" i="5" l="1"/>
  <c r="E28" i="5"/>
  <c r="D52" i="3"/>
  <c r="D51" i="3"/>
  <c r="D50" i="3"/>
  <c r="D49" i="3"/>
  <c r="D48" i="3"/>
  <c r="D47" i="3"/>
  <c r="D46" i="3"/>
  <c r="D45" i="3"/>
  <c r="B52" i="3"/>
  <c r="B51" i="3"/>
  <c r="B50" i="3"/>
  <c r="B49" i="3"/>
  <c r="B48" i="3"/>
  <c r="B47" i="3"/>
  <c r="B46" i="3"/>
  <c r="E16" i="2"/>
  <c r="C52" i="3"/>
  <c r="C51" i="3"/>
  <c r="C50" i="3"/>
  <c r="C49" i="3"/>
  <c r="C48" i="3"/>
  <c r="C47" i="3"/>
  <c r="C46" i="3"/>
  <c r="C45" i="3"/>
  <c r="B45" i="3"/>
  <c r="B19" i="6"/>
  <c r="C16" i="6"/>
  <c r="C15" i="6"/>
  <c r="C14" i="6"/>
  <c r="C13" i="6"/>
  <c r="C12" i="6"/>
  <c r="C9" i="6"/>
  <c r="C8" i="6"/>
  <c r="C7" i="6"/>
  <c r="C6" i="6"/>
  <c r="E33" i="5"/>
  <c r="E32" i="5"/>
  <c r="E31" i="5"/>
  <c r="E30" i="5"/>
  <c r="B24" i="5"/>
  <c r="C21" i="5"/>
  <c r="C20" i="5"/>
  <c r="C19" i="5"/>
  <c r="C18" i="5"/>
  <c r="C15" i="5"/>
  <c r="C14" i="5"/>
  <c r="C13" i="5"/>
  <c r="C12" i="5"/>
  <c r="C9" i="5"/>
  <c r="C8" i="5"/>
  <c r="C7" i="5"/>
  <c r="C6" i="5"/>
  <c r="B29" i="4"/>
  <c r="C26" i="4"/>
  <c r="C25" i="4"/>
  <c r="C24" i="4"/>
  <c r="C23" i="4"/>
  <c r="C22" i="4"/>
  <c r="C19" i="4"/>
  <c r="C18" i="4"/>
  <c r="C17" i="4"/>
  <c r="C16" i="4"/>
  <c r="C15" i="4"/>
  <c r="C12" i="4"/>
  <c r="C11" i="4"/>
  <c r="C10" i="4"/>
  <c r="C9" i="4"/>
  <c r="C8" i="4"/>
  <c r="C7" i="4"/>
  <c r="C6" i="4"/>
  <c r="C34" i="3"/>
  <c r="C32" i="3"/>
  <c r="C29" i="3"/>
  <c r="C28" i="3"/>
  <c r="C27" i="3"/>
  <c r="C26" i="3"/>
  <c r="C25" i="3"/>
  <c r="C24" i="3"/>
  <c r="C23" i="3"/>
  <c r="C22" i="3"/>
  <c r="C19" i="3"/>
  <c r="C18" i="3"/>
  <c r="C17" i="3"/>
  <c r="C16" i="3"/>
  <c r="C15" i="3"/>
  <c r="C14" i="3"/>
  <c r="C13" i="3"/>
  <c r="C12" i="3"/>
  <c r="C11" i="3"/>
  <c r="C10" i="3"/>
  <c r="C9" i="3"/>
  <c r="C8" i="3"/>
  <c r="C7" i="3"/>
  <c r="C6" i="3"/>
  <c r="F15" i="2"/>
  <c r="F14" i="2"/>
  <c r="F13" i="2"/>
  <c r="F12" i="2"/>
  <c r="F11" i="2"/>
  <c r="F10" i="2"/>
  <c r="F9" i="2"/>
  <c r="F8" i="2"/>
  <c r="F7" i="2"/>
  <c r="F6" i="2"/>
</calcChain>
</file>

<file path=xl/sharedStrings.xml><?xml version="1.0" encoding="utf-8"?>
<sst xmlns="http://schemas.openxmlformats.org/spreadsheetml/2006/main" count="310" uniqueCount="283">
  <si>
    <t>Six Sigma Quality Calculator Suite</t>
  </si>
  <si>
    <t>A complete toolkit for Statistical Process Control &amp; Quality Analysis</t>
  </si>
  <si>
    <t>━━━━━━━━━━━━━━━━━━━━━━━━━━━━━━━━━━━━━━━━━━━━━━━━━━━━━━━━━━━━━━━━━━━━━━━</t>
  </si>
  <si>
    <t>📋  OVERVIEW</t>
  </si>
  <si>
    <t>This workbook contains five interconnected sheets designed to help quality engineers, process improvement teams, and Six Sigma practitioners calculate and interpret key quality metrics. All calculations are driven from a single Data Entry tab — enter your measurements once and every calculator updates automatically.</t>
  </si>
  <si>
    <t>🗂️  WORKBOOK TABS AT A GLANCE</t>
  </si>
  <si>
    <t>Tab Name</t>
  </si>
  <si>
    <t>What It Does</t>
  </si>
  <si>
    <t>📘  How to Use</t>
  </si>
  <si>
    <t>You are here! Explains every tab, key concepts, and how to interpret results.</t>
  </si>
  <si>
    <t>📊  Data Entry</t>
  </si>
  <si>
    <t>Enter up to 200 data points, USL/LSL spec limits, and defect counts. All calculators read from here.</t>
  </si>
  <si>
    <t>📐  Standard Deviation</t>
  </si>
  <si>
    <t>Calculates mean, variance, population &amp; sample std dev, range, min/max, and a frequency distribution chart.</t>
  </si>
  <si>
    <t>⚙️  Process Capability</t>
  </si>
  <si>
    <t>Calculates Cp, Cpk, Pp, Ppk, Cpm (Taguchi), with a visual gauge and interpretation guide.</t>
  </si>
  <si>
    <t>🔢  DPMO · DPM · DPU</t>
  </si>
  <si>
    <t>Calculates Defects Per Million Opportunities, Defects Per Million, and Defects Per Unit with yield metrics.</t>
  </si>
  <si>
    <t>🎯  Sigma Level</t>
  </si>
  <si>
    <t>Converts your DPMO to a Sigma Level, shows a benchmark table, and interprets your process performance.</t>
  </si>
  <si>
    <t>🚀  HOW TO USE THIS WORKBOOK — STEP BY STEP</t>
  </si>
  <si>
    <t xml:space="preserve">   1.  Step 1 — Enter Your Data</t>
  </si>
  <si>
    <t xml:space="preserve">        Go to the 'Data Entry' tab. Enter your measured process values (up to 200) in the yellow 'Data Values' column. Enter the count of units inspected, total defects found, and the number of defect opportunities per unit.</t>
  </si>
  <si>
    <t xml:space="preserve">   2.  Step 2 — Set Spec Limits</t>
  </si>
  <si>
    <t xml:space="preserve">        Still in Data Entry, enter your Upper Spec Limit (USL) and Lower Spec Limit (LSL) in the green Specification Limits section. These are the engineering tolerances your process must hit.</t>
  </si>
  <si>
    <t xml:space="preserve">   3.  Step 3 — View Results</t>
  </si>
  <si>
    <t xml:space="preserve">        Navigate to any of the four calculator tabs. All results update automatically. No copy-paste needed.</t>
  </si>
  <si>
    <t xml:space="preserve">   4.  Step 4 — Interpret Results</t>
  </si>
  <si>
    <t xml:space="preserve">        Each calculator tab includes an interpretation zone that tells you whether your process is capable, what your sigma level means, and recommended actions.</t>
  </si>
  <si>
    <t xml:space="preserve">   5.  Step 5 — What-If Analysis</t>
  </si>
  <si>
    <t xml:space="preserve">        Return to Data Entry and change spec limits or data values to explore scenarios. All calculator tabs recalculate instantly.</t>
  </si>
  <si>
    <t>📚  KEY CONCEPTS REFERENCE</t>
  </si>
  <si>
    <t xml:space="preserve">   Standard Deviation (σ)</t>
  </si>
  <si>
    <t xml:space="preserve">        Measures the spread/variability of your data. A smaller σ means measurements are clustered tightly around the mean. Use population σ when you have ALL data; use sample σ (s) when you have a subset.</t>
  </si>
  <si>
    <t xml:space="preserve">   Cp (Potential Capability)</t>
  </si>
  <si>
    <t xml:space="preserve">        Compares the width of your spec tolerance to the width of your process spread (6σ). Cp ≥ 1.33 is generally acceptable. Cp does NOT consider where the process is centered.</t>
  </si>
  <si>
    <t xml:space="preserve">   Cpk (Actual Capability)</t>
  </si>
  <si>
    <t xml:space="preserve">        Like Cp but also accounts for how centered the process is. Cpk &lt; Cp means the process is off-center. Cpk ≥ 1.33 is the typical minimum target.</t>
  </si>
  <si>
    <t xml:space="preserve">   Pp / Ppk (Performance)</t>
  </si>
  <si>
    <t xml:space="preserve">        Same as Cp/Cpk but uses overall (long-term) standard deviation instead of within-subgroup σ. Pp/Ppk reflects actual historical performance.</t>
  </si>
  <si>
    <t xml:space="preserve">   DPMO</t>
  </si>
  <si>
    <t xml:space="preserve">        Defects Per Million Opportunities. The number of defects you would expect if you ran the process one million times. Lower is better. 3.4 DPMO = Six Sigma.</t>
  </si>
  <si>
    <t xml:space="preserve">   DPU</t>
  </si>
  <si>
    <t xml:space="preserve">        Defects Per Unit. Average number of defects found per unit inspected. DPU = Total Defects ÷ Total Units.</t>
  </si>
  <si>
    <t xml:space="preserve">   Sigma Level</t>
  </si>
  <si>
    <t xml:space="preserve">        A Z-score–based measure of process quality. Six Sigma (6σ) = 3.4 DPMO. Most industries target ≥ 4σ. The scale accounts for a 1.5σ long-term shift in process mean.</t>
  </si>
  <si>
    <t xml:space="preserve">   USL / LSL</t>
  </si>
  <si>
    <t xml:space="preserve">        Upper and Lower Specification Limits set by engineering or customer requirements. Any measurement outside these limits is a defect by definition.</t>
  </si>
  <si>
    <t>📊  QUICK SIGMA BENCHMARK REFERENCE</t>
  </si>
  <si>
    <t>Sigma Level</t>
  </si>
  <si>
    <t>DPMO</t>
  </si>
  <si>
    <t>Defect Rate</t>
  </si>
  <si>
    <t>Yield</t>
  </si>
  <si>
    <t>1σ</t>
  </si>
  <si>
    <t>2σ</t>
  </si>
  <si>
    <t>3σ</t>
  </si>
  <si>
    <t>4σ</t>
  </si>
  <si>
    <t>5σ</t>
  </si>
  <si>
    <t>6σ</t>
  </si>
  <si>
    <t>💡  TIP: Blue cells on the Data Entry tab are the ONLY cells you need to edit. All other cells contain formulas — do not modify them.</t>
  </si>
  <si>
    <t>DATA ENTRY — Input Your Process Data Here</t>
  </si>
  <si>
    <t>All calculator tabs read from this sheet. Only edit blue/yellow cells.</t>
  </si>
  <si>
    <t>SPECIFICATION LIMITS</t>
  </si>
  <si>
    <t>Upper Spec Limit (USL)</t>
  </si>
  <si>
    <t>Lower Spec Limit (LSL)</t>
  </si>
  <si>
    <t>← Enter your USL here</t>
  </si>
  <si>
    <t>← Enter your LSL here</t>
  </si>
  <si>
    <t>DEFECT / INSPECTION DATA</t>
  </si>
  <si>
    <t>Total Units Inspected</t>
  </si>
  <si>
    <t>← How many units / parts were checked?</t>
  </si>
  <si>
    <t>Total Defects Found</t>
  </si>
  <si>
    <t>← Total number of defects observed</t>
  </si>
  <si>
    <t>Opportunities for Defect per Unit</t>
  </si>
  <si>
    <t>← How many ways can ONE unit fail?</t>
  </si>
  <si>
    <t>MEASUREMENT DATA  (Enter up to 200 values)</t>
  </si>
  <si>
    <t>#</t>
  </si>
  <si>
    <t>Measured Value</t>
  </si>
  <si>
    <t>LIVE DATA SUMMARY</t>
  </si>
  <si>
    <t>Data Points Entered</t>
  </si>
  <si>
    <t>Minimum Value</t>
  </si>
  <si>
    <t>Maximum Value</t>
  </si>
  <si>
    <t>Range (Max - Min)</t>
  </si>
  <si>
    <t>Mean (Average)</t>
  </si>
  <si>
    <t>Sample Std Dev (s)</t>
  </si>
  <si>
    <t>Population Std Dev (σ)</t>
  </si>
  <si>
    <t>USL (from above)</t>
  </si>
  <si>
    <t>LSL (from above)</t>
  </si>
  <si>
    <t>Spec Width (USL-LSL)</t>
  </si>
  <si>
    <t>COLOR KEY</t>
  </si>
  <si>
    <t xml:space="preserve">  ■  </t>
  </si>
  <si>
    <t>Input cells — enter your data here</t>
  </si>
  <si>
    <t>Pre-filled sample data (safe to overwrite)</t>
  </si>
  <si>
    <t>Auto-calculated summary (do not edit)</t>
  </si>
  <si>
    <t>STANDARD DEVIATION CALCULATOR</t>
  </si>
  <si>
    <t>Measures process variability. Data pulled automatically from the Data Entry tab.</t>
  </si>
  <si>
    <t>CALCULATED RESULTS</t>
  </si>
  <si>
    <t>Count (n)</t>
  </si>
  <si>
    <t>Number of data points in your dataset</t>
  </si>
  <si>
    <t>Sum (Σx)</t>
  </si>
  <si>
    <t>Total of all measurements</t>
  </si>
  <si>
    <t>Mean (x̄)</t>
  </si>
  <si>
    <t>Arithmetic average — the center of your data</t>
  </si>
  <si>
    <t>Median</t>
  </si>
  <si>
    <t>Middle value — less sensitive to outliers than mean</t>
  </si>
  <si>
    <t>Mode</t>
  </si>
  <si>
    <t>Most frequently occurring value</t>
  </si>
  <si>
    <t>Minimum</t>
  </si>
  <si>
    <t>Smallest observation in the dataset</t>
  </si>
  <si>
    <t>Maximum</t>
  </si>
  <si>
    <t>Largest observation in the dataset</t>
  </si>
  <si>
    <t>Range (Max − Min)</t>
  </si>
  <si>
    <t>Total spread from lowest to highest</t>
  </si>
  <si>
    <t>Sample Variance (s²)</t>
  </si>
  <si>
    <t>Average squared deviation (uses n−1 divisor)</t>
  </si>
  <si>
    <t>Best estimate when measuring a SAMPLE of the population</t>
  </si>
  <si>
    <t>Population Variance (σ²)</t>
  </si>
  <si>
    <t>Variance when you have the ENTIRE population</t>
  </si>
  <si>
    <t>Use when your data IS the entire population</t>
  </si>
  <si>
    <t>Coeff. of Variation (CV%)</t>
  </si>
  <si>
    <t>Relative variability: std dev ÷ mean (lower = more consistent)</t>
  </si>
  <si>
    <t>Standard Error (SE)</t>
  </si>
  <si>
    <t>Precision of the sample mean estimate</t>
  </si>
  <si>
    <t>PERCENTILE &amp; DISTRIBUTION SUMMARY</t>
  </si>
  <si>
    <t>25th Percentile (Q1)</t>
  </si>
  <si>
    <t>50th Percentile (Q2 / Median)</t>
  </si>
  <si>
    <t>75th Percentile (Q3)</t>
  </si>
  <si>
    <t>Interquartile Range (IQR)</t>
  </si>
  <si>
    <t>10th Percentile</t>
  </si>
  <si>
    <t>90th Percentile</t>
  </si>
  <si>
    <t>Skewness</t>
  </si>
  <si>
    <t>Kurtosis</t>
  </si>
  <si>
    <t>INTERPRETATION GUIDE</t>
  </si>
  <si>
    <t>Variability Assessment</t>
  </si>
  <si>
    <t>Distribution Shape</t>
  </si>
  <si>
    <t>FORMULA REFERENCE</t>
  </si>
  <si>
    <t>Population Std Dev</t>
  </si>
  <si>
    <t>σ = √[ Σ(xᵢ − μ)² / N ]</t>
  </si>
  <si>
    <t>Use when you have ALL data for the population</t>
  </si>
  <si>
    <t>Sample Std Dev</t>
  </si>
  <si>
    <t>s = √[ Σ(xᵢ − x̄)² / (n−1) ]</t>
  </si>
  <si>
    <t>Use when your data is a SAMPLE (most common)</t>
  </si>
  <si>
    <t>Variance</t>
  </si>
  <si>
    <t>s² = Σ(xᵢ − x̄)² / (n−1)</t>
  </si>
  <si>
    <t>Squared units — std dev is its square root</t>
  </si>
  <si>
    <t>Coeff. of Variation</t>
  </si>
  <si>
    <t>CV = s / x̄ × 100%</t>
  </si>
  <si>
    <t>Normalized measure of spread; unit-free</t>
  </si>
  <si>
    <t>Standard Error</t>
  </si>
  <si>
    <t>SE = s / √n</t>
  </si>
  <si>
    <t>Precision of the mean; decreases as n increases</t>
  </si>
  <si>
    <t>PROCESS CAPABILITY CALCULATOR</t>
  </si>
  <si>
    <t>Cp, Cpk, Pp, Ppk, Cpm — How well does your process fit within spec limits?</t>
  </si>
  <si>
    <t>INPUTS (from Data Entry tab)</t>
  </si>
  <si>
    <t>USL (Upper Spec Limit)</t>
  </si>
  <si>
    <t>LSL (Lower Spec Limit)</t>
  </si>
  <si>
    <t>Spec Tolerance (USL−LSL)</t>
  </si>
  <si>
    <t>Target (Midpoint of Spec)</t>
  </si>
  <si>
    <t>CAPABILITY INDICES (Short-Term)</t>
  </si>
  <si>
    <t>Cp (Potential Capability)</t>
  </si>
  <si>
    <t>Tolerance ÷ 6σ  |  Does NOT account for centering</t>
  </si>
  <si>
    <t>CPU (Upper Capability)</t>
  </si>
  <si>
    <t>Distance from mean to USL in 3σ units</t>
  </si>
  <si>
    <t>CPL (Lower Capability)</t>
  </si>
  <si>
    <t>Distance from mean to LSL in 3σ units</t>
  </si>
  <si>
    <t>Cpk (Actual Capability)</t>
  </si>
  <si>
    <t>MIN(CPU, CPL)  |  Accounts for centering  ← KEY METRIC</t>
  </si>
  <si>
    <t>Cpm (Taguchi Capability)</t>
  </si>
  <si>
    <t>Penalizes deviation from TARGET (not just spec center)</t>
  </si>
  <si>
    <t>PERFORMANCE INDICES (Long-Term — uses Population σ)</t>
  </si>
  <si>
    <t>Pp (Overall Performance)</t>
  </si>
  <si>
    <t>Long-term equivalent of Cp (uses σ not s)</t>
  </si>
  <si>
    <t>Ppk (Overall Performance)</t>
  </si>
  <si>
    <t>Long-term equivalent of Cpk  ← KEY LONG-TERM METRIC</t>
  </si>
  <si>
    <t>Cp − Cpk Gap</t>
  </si>
  <si>
    <t>Gap &gt; 0 means process is OFF-CENTER (shift issue, not spread)</t>
  </si>
  <si>
    <t>% Within Spec (Estimated)</t>
  </si>
  <si>
    <t>Theoretical % of parts within spec limits</t>
  </si>
  <si>
    <t>% Outside Spec (Est. PPM)</t>
  </si>
  <si>
    <t>Parts Per Million expected to be defective</t>
  </si>
  <si>
    <t>CAPABILITY INTERPRETATION (Based on Cpk)</t>
  </si>
  <si>
    <t>Cpk &lt; 0.67</t>
  </si>
  <si>
    <t>⛔  INCAPABLE</t>
  </si>
  <si>
    <t>Major defects — process redesign required</t>
  </si>
  <si>
    <t>0.67 ≤ Cpk &lt; 1.00</t>
  </si>
  <si>
    <t>⚠️  MARGINAL</t>
  </si>
  <si>
    <t>Defects present — significant improvement needed</t>
  </si>
  <si>
    <t>1.00 ≤ Cpk &lt; 1.33</t>
  </si>
  <si>
    <t>✅  CAPABLE</t>
  </si>
  <si>
    <t>Meets minimum threshold — monitor closely</t>
  </si>
  <si>
    <t>1.33 ≤ Cpk &lt; 1.67</t>
  </si>
  <si>
    <t>⭐  GOOD</t>
  </si>
  <si>
    <t>Industry standard — continue improving</t>
  </si>
  <si>
    <t>Cpk ≥ 1.67</t>
  </si>
  <si>
    <t>🏆  EXCELLENT</t>
  </si>
  <si>
    <t>Six Sigma class — world-class performance</t>
  </si>
  <si>
    <t>DPMO · DPM · DPU CALCULATOR</t>
  </si>
  <si>
    <t>Defects Per Million Opportunities, Per Million, Per Unit — the language of Six Sigma quality</t>
  </si>
  <si>
    <t>Total Units Inspected (N)</t>
  </si>
  <si>
    <t>Total Defects Found (D)</t>
  </si>
  <si>
    <t>Opportunities per Unit (O)</t>
  </si>
  <si>
    <t>Total Opportunities = N × O</t>
  </si>
  <si>
    <t>CORE DEFECT METRICS</t>
  </si>
  <si>
    <t>DPU — Defects Per Unit</t>
  </si>
  <si>
    <t>DPU = D ÷ N  |  Average defects per unit produced</t>
  </si>
  <si>
    <t>DPO — Defects Per Opportunity</t>
  </si>
  <si>
    <t>DPO = D ÷ (N × O)  |  Probability of any one opportunity being defective</t>
  </si>
  <si>
    <t>DPMO — Defects Per Million Opportunities</t>
  </si>
  <si>
    <t>DPMO = DPO × 1,000,000  ← PRIMARY SIX SIGMA METRIC</t>
  </si>
  <si>
    <t>DPM — Defects Per Million (units)</t>
  </si>
  <si>
    <t>DPM = DPU × 1,000,000  |  Defects per million units (ignores opportunities)</t>
  </si>
  <si>
    <t>YIELD METRICS</t>
  </si>
  <si>
    <t>Final Yield (FY)</t>
  </si>
  <si>
    <t>Proportion of units with ZERO defects  (simple pass rate)</t>
  </si>
  <si>
    <t>Throughput Yield (TPY)</t>
  </si>
  <si>
    <t>TPY = e^(−DPU)  |  Poisson-based estimate of defect-free probability</t>
  </si>
  <si>
    <t>First Pass Yield (FPY = TPY)</t>
  </si>
  <si>
    <t>Fraction of units passing on the FIRST attempt (no rework)</t>
  </si>
  <si>
    <t>Defect Rate (1 − FY)</t>
  </si>
  <si>
    <t>Fraction of inspected units that contained at least one defect</t>
  </si>
  <si>
    <t>DPMO INTERPRETATION</t>
  </si>
  <si>
    <t>DPMO BENCHMARK COMPARISON TABLE</t>
  </si>
  <si>
    <t>Your DPMO vs. Target</t>
  </si>
  <si>
    <t>SIGMA LEVEL CALCULATOR</t>
  </si>
  <si>
    <t>Convert DPMO and process data to a Sigma Level — the universal language of quality</t>
  </si>
  <si>
    <t>Total Units (N)</t>
  </si>
  <si>
    <t>Total Defects (D)</t>
  </si>
  <si>
    <t>DPMO (calculated)</t>
  </si>
  <si>
    <t>SIGMA LEVEL CALCULATIONS</t>
  </si>
  <si>
    <t>Sigma Level (from DPMO + 1.5σ shift)</t>
  </si>
  <si>
    <t>Industry standard: Z_bench + 1.5 (accounts for long-term mean drift)</t>
  </si>
  <si>
    <t>Sigma Level (Short-term, no shift)</t>
  </si>
  <si>
    <t>Z-score without shift correction (academic / short-term view)</t>
  </si>
  <si>
    <t>Sigma Level from Cpk</t>
  </si>
  <si>
    <t>Sigma = 3 × Cpk  |  Derived from measurement data on Process Capability tab</t>
  </si>
  <si>
    <t>Estimated DPMO from Cpk</t>
  </si>
  <si>
    <t>DPMO estimated from normal distribution &amp; spec limits</t>
  </si>
  <si>
    <t>Process Yield (from DPMO)</t>
  </si>
  <si>
    <t>Fraction of opportunities that are defect-free</t>
  </si>
  <si>
    <t>SIGMA LEVEL INTERPRETATION</t>
  </si>
  <si>
    <t>COMPREHENSIVE SIGMA BENCHMARK TABLE</t>
  </si>
  <si>
    <t>Sigma (σ)</t>
  </si>
  <si>
    <t>Industry Benchmark</t>
  </si>
  <si>
    <t>1.0σ</t>
  </si>
  <si>
    <t>Well below industry baseline — essentially uncontrolled</t>
  </si>
  <si>
    <t>1.5σ</t>
  </si>
  <si>
    <t>Coin-flip quality — 1 in 2 opportunities is defective</t>
  </si>
  <si>
    <t>2.0σ</t>
  </si>
  <si>
    <t>Typical unmanaged process — visible quality problems</t>
  </si>
  <si>
    <t>2.5σ</t>
  </si>
  <si>
    <t>Service industry average (healthcare admin, fast food)</t>
  </si>
  <si>
    <t>3.0σ</t>
  </si>
  <si>
    <t>Manufacturing baseline — common before Six Sigma</t>
  </si>
  <si>
    <t>3.5σ</t>
  </si>
  <si>
    <t>Improved manufacturing — modest investment in quality</t>
  </si>
  <si>
    <t>4.0σ</t>
  </si>
  <si>
    <t>Auto industry standard — most ISO-certified plants</t>
  </si>
  <si>
    <t>4.5σ</t>
  </si>
  <si>
    <t>High-quality electronics, financial services</t>
  </si>
  <si>
    <t>5.0σ</t>
  </si>
  <si>
    <t>Top-tier automotive OEMs, leading hospitals</t>
  </si>
  <si>
    <t>5.5σ</t>
  </si>
  <si>
    <t>Pharmaceutical manufacturing, Class 100 clean rooms</t>
  </si>
  <si>
    <t>6.0σ</t>
  </si>
  <si>
    <t>Aerospace, medical devices, nuclear industry</t>
  </si>
  <si>
    <t>SIGMA IMPROVEMENT ROADMAP</t>
  </si>
  <si>
    <t>Current Level</t>
  </si>
  <si>
    <t>Next Target</t>
  </si>
  <si>
    <t>Recommended Actions</t>
  </si>
  <si>
    <t>&lt; 2σ</t>
  </si>
  <si>
    <t>2σ – 3σ</t>
  </si>
  <si>
    <t>Root cause analysis, immediate containment, design review, SPC implementation</t>
  </si>
  <si>
    <t>3σ – 4σ</t>
  </si>
  <si>
    <t>DMAIC project, measurement system analysis, reduce common cause variation</t>
  </si>
  <si>
    <t>4σ – 5σ</t>
  </si>
  <si>
    <t>DOE (Design of Experiments), error-proofing (Poka-Yoke), control charts</t>
  </si>
  <si>
    <t>5σ – 6σ</t>
  </si>
  <si>
    <t>Advanced SPC, Design for Six Sigma (DFSS), process optimization</t>
  </si>
  <si>
    <t>≥ 6σ</t>
  </si>
  <si>
    <t>Sustain controls, benchmark externally, transfer learnings to other processes</t>
  </si>
  <si>
    <t>FREQUENCY DISTRIBUTION (Histogram Data)</t>
  </si>
  <si>
    <t>Bin Label</t>
  </si>
  <si>
    <t>Bin Upper Bound</t>
  </si>
  <si>
    <t>Frequency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</si>
</sst>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
    <numFmt numFmtId="165" formatCode="0.000000"/>
    <numFmt numFmtId="166" formatCode="0.0000%"/>
    <numFmt numFmtId="167" formatCode="#,##0.0"/>
    <numFmt numFmtId="168" formatCode="0.00000%"/>
    <numFmt numFmtId="169" formatCode="0.0\2%"/>
    <numFmt numFmtId="170" formatCode="0.000%"/>
    <numFmt numFmtId="171" formatCode="0.00\3%"/>
    <numFmt numFmtId="172" formatCode="0.000\1%"/>
  </numFmts>
  <fonts count="42" x14ac:knownFonts="1">
    <font>
      <sz val="11"/>
      <color theme="1"/>
      <name val="Aptos Narrow"/>
      <family val="2"/>
      <scheme val="minor"/>
    </font>
    <font>
      <b/>
      <sz val="11"/>
      <color theme="1"/>
      <name val="Aptos Narrow"/>
      <family val="2"/>
      <scheme val="minor"/>
    </font>
    <font>
      <b/>
      <sz val="26"/>
      <color rgb="FF1F3864"/>
      <name val="Calibri"/>
    </font>
    <font>
      <i/>
      <sz val="13"/>
      <color rgb="FF2E75B6"/>
      <name val="Aptos Narrow"/>
      <family val="2"/>
      <scheme val="minor"/>
    </font>
    <font>
      <sz val="10"/>
      <color rgb="FF2E75B6"/>
      <name val="Aptos Narrow"/>
      <family val="2"/>
      <scheme val="minor"/>
    </font>
    <font>
      <b/>
      <sz val="14"/>
      <color rgb="FFFFFFFF"/>
      <name val="Aptos Narrow"/>
      <family val="2"/>
      <scheme val="minor"/>
    </font>
    <font>
      <b/>
      <sz val="11"/>
      <color rgb="FFFFFFFF"/>
      <name val="Aptos Narrow"/>
      <family val="2"/>
      <scheme val="minor"/>
    </font>
    <font>
      <b/>
      <sz val="11"/>
      <color rgb="FF1F3864"/>
      <name val="Aptos Narrow"/>
      <family val="2"/>
      <scheme val="minor"/>
    </font>
    <font>
      <b/>
      <sz val="11"/>
      <color rgb="FF375623"/>
      <name val="Aptos Narrow"/>
      <family val="2"/>
      <scheme val="minor"/>
    </font>
    <font>
      <b/>
      <sz val="11"/>
      <color rgb="FF7030A0"/>
      <name val="Aptos Narrow"/>
      <family val="2"/>
      <scheme val="minor"/>
    </font>
    <font>
      <i/>
      <sz val="11"/>
      <color rgb="FFFFFFFF"/>
      <name val="Aptos Narrow"/>
      <family val="2"/>
      <scheme val="minor"/>
    </font>
    <font>
      <b/>
      <sz val="18"/>
      <color rgb="FFFFFFFF"/>
      <name val="Aptos Narrow"/>
      <family val="2"/>
      <scheme val="minor"/>
    </font>
    <font>
      <i/>
      <sz val="11"/>
      <color rgb="FF1F3864"/>
      <name val="Aptos Narrow"/>
      <family val="2"/>
      <scheme val="minor"/>
    </font>
    <font>
      <b/>
      <sz val="13"/>
      <color theme="1"/>
      <name val="Aptos Narrow"/>
      <family val="2"/>
      <scheme val="minor"/>
    </font>
    <font>
      <b/>
      <sz val="13"/>
      <color rgb="FFFFFFFF"/>
      <name val="Aptos Narrow"/>
      <family val="2"/>
      <scheme val="minor"/>
    </font>
    <font>
      <b/>
      <sz val="11"/>
      <color rgb="FF0000FF"/>
      <name val="Aptos Narrow"/>
      <family val="2"/>
      <scheme val="minor"/>
    </font>
    <font>
      <i/>
      <sz val="11"/>
      <color rgb="FF375623"/>
      <name val="Aptos Narrow"/>
      <family val="2"/>
      <scheme val="minor"/>
    </font>
    <font>
      <i/>
      <sz val="10"/>
      <color rgb="FF375623"/>
      <name val="Aptos Narrow"/>
      <family val="2"/>
      <scheme val="minor"/>
    </font>
    <font>
      <i/>
      <sz val="10"/>
      <color rgb="FF843C0C"/>
      <name val="Aptos Narrow"/>
      <family val="2"/>
      <scheme val="minor"/>
    </font>
    <font>
      <sz val="11"/>
      <color rgb="FF1F3864"/>
      <name val="Aptos Narrow"/>
      <family val="2"/>
      <scheme val="minor"/>
    </font>
    <font>
      <sz val="11"/>
      <color rgb="FF0000FF"/>
      <name val="Aptos Narrow"/>
      <family val="2"/>
      <scheme val="minor"/>
    </font>
    <font>
      <sz val="11"/>
      <color rgb="FF7F7F7F"/>
      <name val="Aptos Narrow"/>
      <family val="2"/>
      <scheme val="minor"/>
    </font>
    <font>
      <b/>
      <sz val="12"/>
      <color theme="1"/>
      <name val="Aptos Narrow"/>
      <family val="2"/>
      <scheme val="minor"/>
    </font>
    <font>
      <b/>
      <sz val="12"/>
      <color rgb="FFFFFFFF"/>
      <name val="Aptos Narrow"/>
      <family val="2"/>
      <scheme val="minor"/>
    </font>
    <font>
      <sz val="10"/>
      <color theme="1"/>
      <name val="Aptos Narrow"/>
      <family val="2"/>
      <scheme val="minor"/>
    </font>
    <font>
      <b/>
      <sz val="20"/>
      <color rgb="FFFFFFFF"/>
      <name val="Aptos Narrow"/>
      <family val="2"/>
      <scheme val="minor"/>
    </font>
    <font>
      <b/>
      <sz val="12"/>
      <color rgb="FF1F3864"/>
      <name val="Aptos Narrow"/>
      <family val="2"/>
      <scheme val="minor"/>
    </font>
    <font>
      <i/>
      <sz val="10"/>
      <color theme="1"/>
      <name val="Aptos Narrow"/>
      <family val="2"/>
      <scheme val="minor"/>
    </font>
    <font>
      <i/>
      <sz val="10"/>
      <color rgb="FF404040"/>
      <name val="Aptos Narrow"/>
      <family val="2"/>
      <scheme val="minor"/>
    </font>
    <font>
      <sz val="11"/>
      <color theme="1"/>
      <name val="Courier New"/>
    </font>
    <font>
      <b/>
      <sz val="13"/>
      <color rgb="FF375623"/>
      <name val="Aptos Narrow"/>
      <family val="2"/>
      <scheme val="minor"/>
    </font>
    <font>
      <b/>
      <sz val="13"/>
      <color rgb="FF1F3864"/>
      <name val="Aptos Narrow"/>
      <family val="2"/>
      <scheme val="minor"/>
    </font>
    <font>
      <i/>
      <sz val="11"/>
      <color rgb="FFC00000"/>
      <name val="Aptos Narrow"/>
      <family val="2"/>
      <scheme val="minor"/>
    </font>
    <font>
      <b/>
      <sz val="11"/>
      <color rgb="FF843C0C"/>
      <name val="Aptos Narrow"/>
      <family val="2"/>
      <scheme val="minor"/>
    </font>
    <font>
      <b/>
      <sz val="11"/>
      <color rgb="FFC00000"/>
      <name val="Aptos Narrow"/>
      <family val="2"/>
      <scheme val="minor"/>
    </font>
    <font>
      <b/>
      <sz val="14"/>
      <color rgb="FFC00000"/>
      <name val="Aptos Narrow"/>
      <family val="2"/>
      <scheme val="minor"/>
    </font>
    <font>
      <i/>
      <sz val="11"/>
      <color rgb="FF7030A0"/>
      <name val="Aptos Narrow"/>
      <family val="2"/>
      <scheme val="minor"/>
    </font>
    <font>
      <b/>
      <sz val="13"/>
      <color rgb="FF7030A0"/>
      <name val="Aptos Narrow"/>
      <family val="2"/>
      <scheme val="minor"/>
    </font>
    <font>
      <b/>
      <sz val="15"/>
      <color rgb="FF7030A0"/>
      <name val="Aptos Narrow"/>
      <family val="2"/>
      <scheme val="minor"/>
    </font>
    <font>
      <sz val="11"/>
      <color rgb="FF000000"/>
      <name val="Aptos Narrow"/>
      <family val="2"/>
      <scheme val="minor"/>
    </font>
    <font>
      <b/>
      <sz val="11"/>
      <color rgb="FF000000"/>
      <name val="Aptos Narrow"/>
      <family val="2"/>
      <scheme val="minor"/>
    </font>
    <font>
      <sz val="11"/>
      <color rgb="FFFFFFFF"/>
      <name val="Aptos Narrow"/>
      <family val="2"/>
      <scheme val="minor"/>
    </font>
  </fonts>
  <fills count="45">
    <fill>
      <patternFill patternType="none"/>
    </fill>
    <fill>
      <patternFill patternType="gray125"/>
    </fill>
    <fill>
      <patternFill patternType="solid">
        <fgColor rgb="FF1F3864"/>
        <bgColor indexed="64"/>
      </patternFill>
    </fill>
    <fill>
      <patternFill patternType="solid">
        <fgColor rgb="FF2E75B6"/>
        <bgColor indexed="64"/>
      </patternFill>
    </fill>
    <fill>
      <patternFill patternType="solid">
        <fgColor rgb="FF4472C4"/>
        <bgColor indexed="64"/>
      </patternFill>
    </fill>
    <fill>
      <patternFill patternType="solid">
        <fgColor rgb="FFEBF3FB"/>
        <bgColor indexed="64"/>
      </patternFill>
    </fill>
    <fill>
      <patternFill patternType="solid">
        <fgColor rgb="FFFFFFFF"/>
        <bgColor indexed="64"/>
      </patternFill>
    </fill>
    <fill>
      <patternFill patternType="solid">
        <fgColor rgb="FF375623"/>
        <bgColor indexed="64"/>
      </patternFill>
    </fill>
    <fill>
      <patternFill patternType="solid">
        <fgColor rgb="FFE2EFDA"/>
        <bgColor indexed="64"/>
      </patternFill>
    </fill>
    <fill>
      <patternFill patternType="solid">
        <fgColor rgb="FF7030A0"/>
        <bgColor indexed="64"/>
      </patternFill>
    </fill>
    <fill>
      <patternFill patternType="solid">
        <fgColor rgb="FFF4ECFC"/>
        <bgColor indexed="64"/>
      </patternFill>
    </fill>
    <fill>
      <patternFill patternType="solid">
        <fgColor rgb="FFC00000"/>
        <bgColor indexed="64"/>
      </patternFill>
    </fill>
    <fill>
      <patternFill patternType="solid">
        <fgColor rgb="FFFF0000"/>
        <bgColor indexed="64"/>
      </patternFill>
    </fill>
    <fill>
      <patternFill patternType="solid">
        <fgColor rgb="FFFFF2CC"/>
        <bgColor indexed="64"/>
      </patternFill>
    </fill>
    <fill>
      <patternFill patternType="solid">
        <fgColor rgb="FFFFDAB9"/>
        <bgColor indexed="64"/>
      </patternFill>
    </fill>
    <fill>
      <patternFill patternType="solid">
        <fgColor rgb="FFFFEFD5"/>
        <bgColor indexed="64"/>
      </patternFill>
    </fill>
    <fill>
      <patternFill patternType="solid">
        <fgColor rgb="FFC6EFCE"/>
        <bgColor indexed="64"/>
      </patternFill>
    </fill>
    <fill>
      <patternFill patternType="solid">
        <fgColor rgb="FF92D050"/>
        <bgColor indexed="64"/>
      </patternFill>
    </fill>
    <fill>
      <patternFill patternType="solid">
        <fgColor rgb="FFBDD7EE"/>
        <bgColor indexed="64"/>
      </patternFill>
    </fill>
    <fill>
      <patternFill patternType="solid">
        <fgColor rgb="FFFFFF00"/>
        <bgColor indexed="64"/>
      </patternFill>
    </fill>
    <fill>
      <patternFill patternType="solid">
        <fgColor rgb="FF843C0C"/>
        <bgColor indexed="64"/>
      </patternFill>
    </fill>
    <fill>
      <patternFill patternType="solid">
        <fgColor rgb="FFFCE4D6"/>
        <bgColor indexed="64"/>
      </patternFill>
    </fill>
    <fill>
      <patternFill patternType="solid">
        <fgColor rgb="FFDEEAF1"/>
        <bgColor indexed="64"/>
      </patternFill>
    </fill>
    <fill>
      <patternFill patternType="solid">
        <fgColor rgb="FFF2F2F2"/>
        <bgColor indexed="64"/>
      </patternFill>
    </fill>
    <fill>
      <patternFill patternType="solid">
        <fgColor rgb="FFEEF2FF"/>
        <bgColor indexed="64"/>
      </patternFill>
    </fill>
    <fill>
      <patternFill patternType="solid">
        <fgColor rgb="FFF8F9FF"/>
        <bgColor indexed="64"/>
      </patternFill>
    </fill>
    <fill>
      <patternFill patternType="solid">
        <fgColor rgb="FF538135"/>
        <bgColor indexed="64"/>
      </patternFill>
    </fill>
    <fill>
      <patternFill patternType="solid">
        <fgColor rgb="FFEBF3E5"/>
        <bgColor indexed="64"/>
      </patternFill>
    </fill>
    <fill>
      <patternFill patternType="solid">
        <fgColor rgb="FFFFCCCC"/>
        <bgColor indexed="64"/>
      </patternFill>
    </fill>
    <fill>
      <patternFill patternType="solid">
        <fgColor rgb="FFFFE4B5"/>
        <bgColor indexed="64"/>
      </patternFill>
    </fill>
    <fill>
      <patternFill patternType="solid">
        <fgColor rgb="FFFFFFCC"/>
        <bgColor indexed="64"/>
      </patternFill>
    </fill>
    <fill>
      <patternFill patternType="solid">
        <fgColor rgb="FFCCFFCC"/>
        <bgColor indexed="64"/>
      </patternFill>
    </fill>
    <fill>
      <patternFill patternType="solid">
        <fgColor rgb="FF99FF99"/>
        <bgColor indexed="64"/>
      </patternFill>
    </fill>
    <fill>
      <patternFill patternType="solid">
        <fgColor rgb="FFFFE4E1"/>
        <bgColor indexed="64"/>
      </patternFill>
    </fill>
    <fill>
      <patternFill patternType="solid">
        <fgColor rgb="FFFFE8D9"/>
        <bgColor indexed="64"/>
      </patternFill>
    </fill>
    <fill>
      <patternFill patternType="solid">
        <fgColor rgb="FFFAF0FF"/>
        <bgColor indexed="64"/>
      </patternFill>
    </fill>
    <fill>
      <patternFill patternType="solid">
        <fgColor rgb="FFE8D5F5"/>
        <bgColor indexed="64"/>
      </patternFill>
    </fill>
    <fill>
      <patternFill patternType="solid">
        <fgColor rgb="FF9B59B6"/>
        <bgColor indexed="64"/>
      </patternFill>
    </fill>
    <fill>
      <patternFill patternType="solid">
        <fgColor rgb="FFFFB3B3"/>
        <bgColor indexed="64"/>
      </patternFill>
    </fill>
    <fill>
      <patternFill patternType="solid">
        <fgColor rgb="FFFFD9B3"/>
        <bgColor indexed="64"/>
      </patternFill>
    </fill>
    <fill>
      <patternFill patternType="solid">
        <fgColor rgb="FFFFFACD"/>
        <bgColor indexed="64"/>
      </patternFill>
    </fill>
    <fill>
      <patternFill patternType="solid">
        <fgColor rgb="FFA9D18E"/>
        <bgColor indexed="64"/>
      </patternFill>
    </fill>
    <fill>
      <patternFill patternType="solid">
        <fgColor rgb="FF70AD47"/>
        <bgColor indexed="64"/>
      </patternFill>
    </fill>
    <fill>
      <patternFill patternType="solid">
        <fgColor rgb="FFFFECEC"/>
        <bgColor indexed="64"/>
      </patternFill>
    </fill>
    <fill>
      <patternFill patternType="solid">
        <fgColor rgb="FFFFF5F5"/>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224">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2" borderId="0" xfId="0" applyFont="1" applyFill="1"/>
    <xf numFmtId="0" fontId="0" fillId="0" borderId="0" xfId="0" applyAlignment="1">
      <alignment wrapText="1"/>
    </xf>
    <xf numFmtId="0" fontId="5" fillId="3" borderId="0" xfId="0" applyFont="1" applyFill="1"/>
    <xf numFmtId="0" fontId="6" fillId="4" borderId="0" xfId="0" applyFont="1" applyFill="1"/>
    <xf numFmtId="0" fontId="0" fillId="5" borderId="0" xfId="0" applyFill="1"/>
    <xf numFmtId="0" fontId="1" fillId="5" borderId="0" xfId="0" applyFont="1" applyFill="1"/>
    <xf numFmtId="0" fontId="7" fillId="5" borderId="0" xfId="0" applyFont="1" applyFill="1"/>
    <xf numFmtId="0" fontId="7" fillId="6" borderId="0" xfId="0" applyFont="1" applyFill="1"/>
    <xf numFmtId="0" fontId="5" fillId="7" borderId="0" xfId="0" applyFont="1" applyFill="1"/>
    <xf numFmtId="0" fontId="8" fillId="8" borderId="0" xfId="0" applyFont="1" applyFill="1"/>
    <xf numFmtId="0" fontId="5" fillId="9" borderId="0" xfId="0" applyFont="1" applyFill="1"/>
    <xf numFmtId="0" fontId="9" fillId="10" borderId="0" xfId="0" applyFont="1" applyFill="1"/>
    <xf numFmtId="0" fontId="5" fillId="11" borderId="0" xfId="0" applyFont="1" applyFill="1"/>
    <xf numFmtId="0" fontId="6" fillId="12" borderId="0" xfId="0" applyFont="1" applyFill="1"/>
    <xf numFmtId="0" fontId="0" fillId="13" borderId="0" xfId="0" applyFill="1"/>
    <xf numFmtId="10" fontId="0" fillId="13" borderId="0" xfId="0" applyNumberFormat="1" applyFill="1"/>
    <xf numFmtId="0" fontId="1" fillId="13" borderId="0" xfId="0" applyFont="1" applyFill="1"/>
    <xf numFmtId="0" fontId="0" fillId="14" borderId="0" xfId="0" applyFill="1"/>
    <xf numFmtId="10" fontId="0" fillId="14" borderId="0" xfId="0" applyNumberFormat="1" applyFill="1"/>
    <xf numFmtId="0" fontId="1" fillId="14" borderId="0" xfId="0" applyFont="1" applyFill="1"/>
    <xf numFmtId="0" fontId="0" fillId="15" borderId="0" xfId="0" applyFill="1"/>
    <xf numFmtId="10" fontId="0" fillId="15" borderId="0" xfId="0" applyNumberFormat="1" applyFill="1"/>
    <xf numFmtId="0" fontId="1" fillId="15" borderId="0" xfId="0" applyFont="1" applyFill="1"/>
    <xf numFmtId="0" fontId="0" fillId="8" borderId="0" xfId="0" applyFill="1"/>
    <xf numFmtId="10" fontId="0" fillId="8" borderId="0" xfId="0" applyNumberFormat="1" applyFill="1"/>
    <xf numFmtId="0" fontId="1" fillId="8" borderId="0" xfId="0" applyFont="1" applyFill="1"/>
    <xf numFmtId="0" fontId="0" fillId="16" borderId="0" xfId="0" applyFill="1"/>
    <xf numFmtId="10" fontId="0" fillId="16" borderId="0" xfId="0" applyNumberFormat="1" applyFill="1"/>
    <xf numFmtId="0" fontId="1" fillId="16" borderId="0" xfId="0" applyFont="1" applyFill="1"/>
    <xf numFmtId="0" fontId="0" fillId="17" borderId="0" xfId="0" applyFill="1"/>
    <xf numFmtId="0" fontId="1" fillId="17" borderId="0" xfId="0" applyFont="1" applyFill="1"/>
    <xf numFmtId="0" fontId="10" fillId="3" borderId="0" xfId="0" applyFont="1" applyFill="1" applyAlignment="1">
      <alignment wrapText="1"/>
    </xf>
    <xf numFmtId="0" fontId="11" fillId="3" borderId="0" xfId="0" applyFont="1" applyFill="1"/>
    <xf numFmtId="0" fontId="12" fillId="18" borderId="0" xfId="0" applyFont="1" applyFill="1"/>
    <xf numFmtId="0" fontId="14" fillId="7" borderId="0" xfId="0" applyFont="1" applyFill="1"/>
    <xf numFmtId="0" fontId="15" fillId="19" borderId="0" xfId="0" applyFont="1" applyFill="1"/>
    <xf numFmtId="0" fontId="15" fillId="19" borderId="1" xfId="0" applyFont="1" applyFill="1" applyBorder="1"/>
    <xf numFmtId="164" fontId="15" fillId="19" borderId="1" xfId="0" applyNumberFormat="1" applyFont="1" applyFill="1" applyBorder="1"/>
    <xf numFmtId="164" fontId="15" fillId="19" borderId="2" xfId="0" applyNumberFormat="1" applyFont="1" applyFill="1" applyBorder="1"/>
    <xf numFmtId="0" fontId="17" fillId="0" borderId="0" xfId="0" applyFont="1"/>
    <xf numFmtId="0" fontId="14" fillId="20" borderId="0" xfId="0" applyFont="1" applyFill="1"/>
    <xf numFmtId="0" fontId="0" fillId="21" borderId="0" xfId="0" applyFill="1"/>
    <xf numFmtId="0" fontId="18" fillId="0" borderId="0" xfId="0" applyFont="1"/>
    <xf numFmtId="0" fontId="15" fillId="19" borderId="2" xfId="0" applyFont="1" applyFill="1" applyBorder="1"/>
    <xf numFmtId="0" fontId="14" fillId="2" borderId="0" xfId="0" applyFont="1" applyFill="1"/>
    <xf numFmtId="0" fontId="6" fillId="3" borderId="0" xfId="0" applyFont="1" applyFill="1"/>
    <xf numFmtId="0" fontId="0" fillId="22" borderId="0" xfId="0" applyFill="1"/>
    <xf numFmtId="0" fontId="19" fillId="22" borderId="0" xfId="0" applyFont="1" applyFill="1" applyAlignment="1">
      <alignment horizontal="center"/>
    </xf>
    <xf numFmtId="0" fontId="15" fillId="5" borderId="0" xfId="0" applyFont="1" applyFill="1"/>
    <xf numFmtId="164" fontId="15" fillId="5" borderId="0" xfId="0" applyNumberFormat="1" applyFont="1" applyFill="1"/>
    <xf numFmtId="0" fontId="21" fillId="23" borderId="0" xfId="0" applyFont="1" applyFill="1" applyAlignment="1">
      <alignment horizontal="center"/>
    </xf>
    <xf numFmtId="0" fontId="20" fillId="19" borderId="0" xfId="0" applyFont="1" applyFill="1"/>
    <xf numFmtId="0" fontId="7" fillId="22" borderId="0" xfId="0" applyFont="1" applyFill="1"/>
    <xf numFmtId="164" fontId="7" fillId="5" borderId="0" xfId="0" applyNumberFormat="1" applyFont="1" applyFill="1"/>
    <xf numFmtId="164" fontId="7" fillId="22" borderId="0" xfId="0" applyNumberFormat="1" applyFont="1" applyFill="1"/>
    <xf numFmtId="0" fontId="6" fillId="5" borderId="0" xfId="0" applyFont="1" applyFill="1"/>
    <xf numFmtId="0" fontId="23" fillId="9" borderId="0" xfId="0" applyFont="1" applyFill="1"/>
    <xf numFmtId="0" fontId="24" fillId="10" borderId="0" xfId="0" applyFont="1" applyFill="1"/>
    <xf numFmtId="0" fontId="25" fillId="2" borderId="0" xfId="0" applyFont="1" applyFill="1"/>
    <xf numFmtId="0" fontId="14" fillId="3" borderId="0" xfId="0" applyFont="1" applyFill="1"/>
    <xf numFmtId="0" fontId="1" fillId="22" borderId="0" xfId="0" applyFont="1" applyFill="1"/>
    <xf numFmtId="164" fontId="26" fillId="22" borderId="0" xfId="0" applyNumberFormat="1" applyFont="1" applyFill="1"/>
    <xf numFmtId="0" fontId="28" fillId="22" borderId="0" xfId="0" applyFont="1" applyFill="1"/>
    <xf numFmtId="164" fontId="26" fillId="5" borderId="0" xfId="0" applyNumberFormat="1" applyFont="1" applyFill="1"/>
    <xf numFmtId="0" fontId="28" fillId="5" borderId="0" xfId="0" applyFont="1" applyFill="1"/>
    <xf numFmtId="0" fontId="14" fillId="4" borderId="0" xfId="0" applyFont="1" applyFill="1"/>
    <xf numFmtId="0" fontId="0" fillId="24" borderId="0" xfId="0" applyFill="1"/>
    <xf numFmtId="164" fontId="7" fillId="24" borderId="0" xfId="0" applyNumberFormat="1" applyFont="1" applyFill="1"/>
    <xf numFmtId="0" fontId="0" fillId="25" borderId="0" xfId="0" applyFill="1"/>
    <xf numFmtId="164" fontId="7" fillId="25" borderId="0" xfId="0" applyNumberFormat="1" applyFont="1" applyFill="1"/>
    <xf numFmtId="0" fontId="14" fillId="9" borderId="0" xfId="0" applyFont="1" applyFill="1"/>
    <xf numFmtId="0" fontId="7" fillId="10" borderId="0" xfId="0" applyFont="1" applyFill="1"/>
    <xf numFmtId="0" fontId="1" fillId="21" borderId="0" xfId="0" applyFont="1" applyFill="1"/>
    <xf numFmtId="0" fontId="29" fillId="21" borderId="0" xfId="0" applyFont="1" applyFill="1"/>
    <xf numFmtId="0" fontId="27" fillId="21" borderId="0" xfId="0" applyFont="1" applyFill="1"/>
    <xf numFmtId="0" fontId="29" fillId="13" borderId="0" xfId="0" applyFont="1" applyFill="1"/>
    <xf numFmtId="0" fontId="27" fillId="13" borderId="0" xfId="0" applyFont="1" applyFill="1"/>
    <xf numFmtId="0" fontId="25" fillId="7" borderId="0" xfId="0" applyFont="1" applyFill="1"/>
    <xf numFmtId="0" fontId="16" fillId="8" borderId="0" xfId="0" applyFont="1" applyFill="1"/>
    <xf numFmtId="0" fontId="23" fillId="26" borderId="0" xfId="0" applyFont="1" applyFill="1"/>
    <xf numFmtId="164" fontId="8" fillId="8" borderId="0" xfId="0" applyNumberFormat="1" applyFont="1" applyFill="1"/>
    <xf numFmtId="0" fontId="0" fillId="27" borderId="0" xfId="0" applyFill="1"/>
    <xf numFmtId="164" fontId="8" fillId="27" borderId="0" xfId="0" applyNumberFormat="1" applyFont="1" applyFill="1"/>
    <xf numFmtId="0" fontId="27" fillId="8" borderId="0" xfId="0" applyFont="1" applyFill="1"/>
    <xf numFmtId="0" fontId="27" fillId="27" borderId="0" xfId="0" applyFont="1" applyFill="1"/>
    <xf numFmtId="0" fontId="22" fillId="16" borderId="0" xfId="0" applyFont="1" applyFill="1"/>
    <xf numFmtId="164" fontId="30" fillId="16" borderId="0" xfId="0" applyNumberFormat="1" applyFont="1" applyFill="1"/>
    <xf numFmtId="0" fontId="27" fillId="16" borderId="0" xfId="0" applyFont="1" applyFill="1"/>
    <xf numFmtId="0" fontId="27" fillId="22" borderId="0" xfId="0" applyFont="1" applyFill="1"/>
    <xf numFmtId="0" fontId="1" fillId="18" borderId="0" xfId="0" applyFont="1" applyFill="1"/>
    <xf numFmtId="164" fontId="31" fillId="18" borderId="0" xfId="0" applyNumberFormat="1" applyFont="1" applyFill="1"/>
    <xf numFmtId="0" fontId="27" fillId="18" borderId="0" xfId="0" applyFont="1" applyFill="1"/>
    <xf numFmtId="10" fontId="7" fillId="5" borderId="0" xfId="0" applyNumberFormat="1" applyFont="1" applyFill="1"/>
    <xf numFmtId="0" fontId="27" fillId="5" borderId="0" xfId="0" applyFont="1" applyFill="1"/>
    <xf numFmtId="1" fontId="7" fillId="22" borderId="0" xfId="0" applyNumberFormat="1" applyFont="1" applyFill="1"/>
    <xf numFmtId="0" fontId="13" fillId="10" borderId="0" xfId="0" applyFont="1" applyFill="1" applyAlignment="1">
      <alignment wrapText="1"/>
    </xf>
    <xf numFmtId="0" fontId="1" fillId="28" borderId="0" xfId="0" applyFont="1" applyFill="1"/>
    <xf numFmtId="0" fontId="27" fillId="28" borderId="0" xfId="0" applyFont="1" applyFill="1"/>
    <xf numFmtId="0" fontId="1" fillId="29" borderId="0" xfId="0" applyFont="1" applyFill="1"/>
    <xf numFmtId="0" fontId="27" fillId="29" borderId="0" xfId="0" applyFont="1" applyFill="1"/>
    <xf numFmtId="0" fontId="1" fillId="30" borderId="0" xfId="0" applyFont="1" applyFill="1"/>
    <xf numFmtId="0" fontId="27" fillId="30" borderId="0" xfId="0" applyFont="1" applyFill="1"/>
    <xf numFmtId="0" fontId="1" fillId="31" borderId="0" xfId="0" applyFont="1" applyFill="1"/>
    <xf numFmtId="0" fontId="27" fillId="31" borderId="0" xfId="0" applyFont="1" applyFill="1"/>
    <xf numFmtId="0" fontId="1" fillId="32" borderId="0" xfId="0" applyFont="1" applyFill="1"/>
    <xf numFmtId="0" fontId="27" fillId="32" borderId="0" xfId="0" applyFont="1" applyFill="1"/>
    <xf numFmtId="0" fontId="25" fillId="11" borderId="0" xfId="0" applyFont="1" applyFill="1"/>
    <xf numFmtId="0" fontId="32" fillId="33" borderId="0" xfId="0" applyFont="1" applyFill="1"/>
    <xf numFmtId="0" fontId="23" fillId="20" borderId="0" xfId="0" applyFont="1" applyFill="1"/>
    <xf numFmtId="1" fontId="33" fillId="21" borderId="0" xfId="0" applyNumberFormat="1" applyFont="1" applyFill="1"/>
    <xf numFmtId="0" fontId="0" fillId="34" borderId="0" xfId="0" applyFill="1"/>
    <xf numFmtId="1" fontId="33" fillId="34" borderId="0" xfId="0" applyNumberFormat="1" applyFont="1" applyFill="1"/>
    <xf numFmtId="0" fontId="14" fillId="11" borderId="0" xfId="0" applyFont="1" applyFill="1"/>
    <xf numFmtId="164" fontId="34" fillId="21" borderId="0" xfId="0" applyNumberFormat="1" applyFont="1" applyFill="1"/>
    <xf numFmtId="165" fontId="34" fillId="34" borderId="0" xfId="0" applyNumberFormat="1" applyFont="1" applyFill="1"/>
    <xf numFmtId="0" fontId="27" fillId="34" borderId="0" xfId="0" applyFont="1" applyFill="1"/>
    <xf numFmtId="0" fontId="22" fillId="28" borderId="0" xfId="0" applyFont="1" applyFill="1"/>
    <xf numFmtId="4" fontId="35" fillId="28" borderId="0" xfId="0" applyNumberFormat="1" applyFont="1" applyFill="1"/>
    <xf numFmtId="4" fontId="34" fillId="34" borderId="0" xfId="0" applyNumberFormat="1" applyFont="1" applyFill="1"/>
    <xf numFmtId="166" fontId="8" fillId="8" borderId="0" xfId="0" applyNumberFormat="1" applyFont="1" applyFill="1"/>
    <xf numFmtId="166" fontId="8" fillId="27" borderId="0" xfId="0" applyNumberFormat="1" applyFont="1" applyFill="1"/>
    <xf numFmtId="0" fontId="22" fillId="10" borderId="0" xfId="0" applyFont="1" applyFill="1" applyAlignment="1">
      <alignment wrapText="1"/>
    </xf>
    <xf numFmtId="167" fontId="0" fillId="13" borderId="0" xfId="0" applyNumberFormat="1" applyFill="1"/>
    <xf numFmtId="167" fontId="0" fillId="14" borderId="0" xfId="0" applyNumberFormat="1" applyFill="1"/>
    <xf numFmtId="167" fontId="0" fillId="15" borderId="0" xfId="0" applyNumberFormat="1" applyFill="1"/>
    <xf numFmtId="167" fontId="0" fillId="8" borderId="0" xfId="0" applyNumberFormat="1" applyFill="1"/>
    <xf numFmtId="167" fontId="0" fillId="16" borderId="0" xfId="0" applyNumberFormat="1" applyFill="1"/>
    <xf numFmtId="167" fontId="0" fillId="17" borderId="0" xfId="0" applyNumberFormat="1" applyFill="1"/>
    <xf numFmtId="1" fontId="9" fillId="10" borderId="0" xfId="0" applyNumberFormat="1" applyFont="1" applyFill="1"/>
    <xf numFmtId="1" fontId="9" fillId="35" borderId="0" xfId="0" applyNumberFormat="1" applyFont="1" applyFill="1"/>
    <xf numFmtId="4" fontId="37" fillId="36" borderId="0" xfId="0" applyNumberFormat="1" applyFont="1" applyFill="1"/>
    <xf numFmtId="2" fontId="38" fillId="36" borderId="0" xfId="0" applyNumberFormat="1" applyFont="1" applyFill="1"/>
    <xf numFmtId="2" fontId="9" fillId="35" borderId="0" xfId="0" applyNumberFormat="1" applyFont="1" applyFill="1"/>
    <xf numFmtId="2" fontId="9" fillId="10" borderId="0" xfId="0" applyNumberFormat="1" applyFont="1" applyFill="1"/>
    <xf numFmtId="4" fontId="9" fillId="35" borderId="0" xfId="0" applyNumberFormat="1" applyFont="1" applyFill="1"/>
    <xf numFmtId="168" fontId="9" fillId="10" borderId="0" xfId="0" applyNumberFormat="1" applyFont="1" applyFill="1"/>
    <xf numFmtId="0" fontId="22" fillId="13" borderId="0" xfId="0" applyFont="1" applyFill="1" applyAlignment="1">
      <alignment wrapText="1"/>
    </xf>
    <xf numFmtId="0" fontId="6" fillId="37" borderId="0" xfId="0" applyFont="1" applyFill="1"/>
    <xf numFmtId="0" fontId="39" fillId="38" borderId="0" xfId="0" applyFont="1" applyFill="1"/>
    <xf numFmtId="3" fontId="39" fillId="38" borderId="0" xfId="0" applyNumberFormat="1" applyFont="1" applyFill="1"/>
    <xf numFmtId="10" fontId="39" fillId="38" borderId="0" xfId="0" applyNumberFormat="1" applyFont="1" applyFill="1"/>
    <xf numFmtId="0" fontId="39" fillId="28" borderId="0" xfId="0" applyFont="1" applyFill="1"/>
    <xf numFmtId="3" fontId="39" fillId="28" borderId="0" xfId="0" applyNumberFormat="1" applyFont="1" applyFill="1"/>
    <xf numFmtId="10" fontId="39" fillId="28" borderId="0" xfId="0" applyNumberFormat="1" applyFont="1" applyFill="1"/>
    <xf numFmtId="0" fontId="39" fillId="39" borderId="0" xfId="0" applyFont="1" applyFill="1"/>
    <xf numFmtId="3" fontId="39" fillId="39" borderId="0" xfId="0" applyNumberFormat="1" applyFont="1" applyFill="1"/>
    <xf numFmtId="10" fontId="39" fillId="39" borderId="0" xfId="0" applyNumberFormat="1" applyFont="1" applyFill="1"/>
    <xf numFmtId="0" fontId="39" fillId="29" borderId="0" xfId="0" applyFont="1" applyFill="1"/>
    <xf numFmtId="3" fontId="39" fillId="29" borderId="0" xfId="0" applyNumberFormat="1" applyFont="1" applyFill="1"/>
    <xf numFmtId="10" fontId="39" fillId="29" borderId="0" xfId="0" applyNumberFormat="1" applyFont="1" applyFill="1"/>
    <xf numFmtId="0" fontId="39" fillId="40" borderId="0" xfId="0" applyFont="1" applyFill="1"/>
    <xf numFmtId="3" fontId="39" fillId="40" borderId="0" xfId="0" applyNumberFormat="1" applyFont="1" applyFill="1"/>
    <xf numFmtId="10" fontId="39" fillId="40" borderId="0" xfId="0" applyNumberFormat="1" applyFont="1" applyFill="1"/>
    <xf numFmtId="0" fontId="39" fillId="8" borderId="0" xfId="0" applyFont="1" applyFill="1"/>
    <xf numFmtId="3" fontId="39" fillId="8" borderId="0" xfId="0" applyNumberFormat="1" applyFont="1" applyFill="1"/>
    <xf numFmtId="10" fontId="39" fillId="8" borderId="0" xfId="0" applyNumberFormat="1" applyFont="1" applyFill="1"/>
    <xf numFmtId="0" fontId="39" fillId="16" borderId="0" xfId="0" applyFont="1" applyFill="1"/>
    <xf numFmtId="3" fontId="39" fillId="16" borderId="0" xfId="0" applyNumberFormat="1" applyFont="1" applyFill="1"/>
    <xf numFmtId="10" fontId="39" fillId="16" borderId="0" xfId="0" applyNumberFormat="1" applyFont="1" applyFill="1"/>
    <xf numFmtId="0" fontId="39" fillId="41" borderId="0" xfId="0" applyFont="1" applyFill="1"/>
    <xf numFmtId="0" fontId="39" fillId="42" borderId="0" xfId="0" applyFont="1" applyFill="1"/>
    <xf numFmtId="0" fontId="41" fillId="7" borderId="0" xfId="0" applyFont="1" applyFill="1"/>
    <xf numFmtId="0" fontId="9" fillId="43" borderId="0" xfId="0" applyFont="1" applyFill="1"/>
    <xf numFmtId="0" fontId="24" fillId="43" borderId="0" xfId="0" applyFont="1" applyFill="1" applyAlignment="1">
      <alignment wrapText="1"/>
    </xf>
    <xf numFmtId="0" fontId="9" fillId="44" borderId="0" xfId="0" applyFont="1" applyFill="1"/>
    <xf numFmtId="0" fontId="24" fillId="44" borderId="0" xfId="0" applyFont="1" applyFill="1" applyAlignment="1">
      <alignment wrapText="1"/>
    </xf>
    <xf numFmtId="164" fontId="0" fillId="22" borderId="0" xfId="0" applyNumberFormat="1" applyFill="1"/>
    <xf numFmtId="164" fontId="0" fillId="5" borderId="0" xfId="0" applyNumberFormat="1" applyFill="1"/>
    <xf numFmtId="10" fontId="26" fillId="22" borderId="0" xfId="0" applyNumberFormat="1" applyFont="1" applyFill="1"/>
    <xf numFmtId="169" fontId="0" fillId="16" borderId="0" xfId="0" applyNumberFormat="1" applyFill="1"/>
    <xf numFmtId="166" fontId="0" fillId="17" borderId="0" xfId="0" applyNumberFormat="1" applyFill="1"/>
    <xf numFmtId="169" fontId="39" fillId="41" borderId="0" xfId="0" applyNumberFormat="1" applyFont="1" applyFill="1"/>
    <xf numFmtId="171" fontId="39" fillId="42" borderId="0" xfId="0" applyNumberFormat="1" applyFont="1" applyFill="1"/>
    <xf numFmtId="172" fontId="41" fillId="7" borderId="0" xfId="0" applyNumberFormat="1" applyFont="1" applyFill="1"/>
    <xf numFmtId="0" fontId="25" fillId="9" borderId="0" xfId="0" applyFont="1" applyFill="1" applyAlignment="1">
      <alignment wrapText="1"/>
    </xf>
    <xf numFmtId="0" fontId="36" fillId="10" borderId="0" xfId="0" applyFont="1" applyFill="1" applyAlignment="1">
      <alignment wrapText="1"/>
    </xf>
    <xf numFmtId="0" fontId="23" fillId="9" borderId="0" xfId="0" applyFont="1" applyFill="1" applyAlignment="1">
      <alignment wrapText="1"/>
    </xf>
    <xf numFmtId="0" fontId="0" fillId="10" borderId="0" xfId="0" applyFill="1" applyAlignment="1">
      <alignment wrapText="1"/>
    </xf>
    <xf numFmtId="0" fontId="0" fillId="35" borderId="0" xfId="0" applyFill="1" applyAlignment="1">
      <alignment wrapText="1"/>
    </xf>
    <xf numFmtId="0" fontId="1" fillId="36" borderId="0" xfId="0" applyFont="1" applyFill="1" applyAlignment="1">
      <alignment wrapText="1"/>
    </xf>
    <xf numFmtId="0" fontId="14" fillId="9" borderId="0" xfId="0" applyFont="1" applyFill="1" applyAlignment="1">
      <alignment wrapText="1"/>
    </xf>
    <xf numFmtId="0" fontId="22" fillId="36" borderId="0" xfId="0" applyFont="1" applyFill="1" applyAlignment="1">
      <alignment wrapText="1"/>
    </xf>
    <xf numFmtId="0" fontId="14" fillId="11" borderId="0" xfId="0" applyFont="1" applyFill="1" applyAlignment="1">
      <alignment wrapText="1"/>
    </xf>
    <xf numFmtId="0" fontId="6" fillId="37" borderId="0" xfId="0" applyFont="1" applyFill="1" applyAlignment="1">
      <alignment wrapText="1"/>
    </xf>
    <xf numFmtId="0" fontId="40" fillId="38" borderId="0" xfId="0" applyFont="1" applyFill="1" applyAlignment="1">
      <alignment wrapText="1"/>
    </xf>
    <xf numFmtId="0" fontId="40" fillId="28" borderId="0" xfId="0" applyFont="1" applyFill="1" applyAlignment="1">
      <alignment wrapText="1"/>
    </xf>
    <xf numFmtId="0" fontId="40" fillId="39" borderId="0" xfId="0" applyFont="1" applyFill="1" applyAlignment="1">
      <alignment wrapText="1"/>
    </xf>
    <xf numFmtId="0" fontId="40" fillId="29" borderId="0" xfId="0" applyFont="1" applyFill="1" applyAlignment="1">
      <alignment wrapText="1"/>
    </xf>
    <xf numFmtId="0" fontId="40" fillId="40" borderId="0" xfId="0" applyFont="1" applyFill="1" applyAlignment="1">
      <alignment wrapText="1"/>
    </xf>
    <xf numFmtId="0" fontId="40" fillId="8" borderId="0" xfId="0" applyFont="1" applyFill="1" applyAlignment="1">
      <alignment wrapText="1"/>
    </xf>
    <xf numFmtId="0" fontId="40" fillId="16" borderId="0" xfId="0" applyFont="1" applyFill="1" applyAlignment="1">
      <alignment wrapText="1"/>
    </xf>
    <xf numFmtId="0" fontId="40" fillId="41" borderId="0" xfId="0" applyFont="1" applyFill="1" applyAlignment="1">
      <alignment wrapText="1"/>
    </xf>
    <xf numFmtId="0" fontId="40" fillId="42" borderId="0" xfId="0" applyFont="1" applyFill="1" applyAlignment="1">
      <alignment wrapText="1"/>
    </xf>
    <xf numFmtId="0" fontId="6" fillId="7" borderId="0" xfId="0" applyFont="1" applyFill="1" applyAlignment="1">
      <alignment wrapText="1"/>
    </xf>
    <xf numFmtId="0" fontId="6" fillId="12" borderId="0" xfId="0" applyFont="1" applyFill="1" applyAlignment="1">
      <alignment wrapText="1"/>
    </xf>
    <xf numFmtId="0" fontId="1" fillId="43" borderId="0" xfId="0" applyFont="1" applyFill="1" applyAlignment="1">
      <alignment wrapText="1"/>
    </xf>
    <xf numFmtId="0" fontId="1" fillId="44" borderId="0" xfId="0" applyFont="1" applyFill="1" applyAlignment="1">
      <alignment wrapText="1"/>
    </xf>
    <xf numFmtId="0" fontId="27" fillId="36" borderId="0" xfId="0" applyFont="1" applyFill="1" applyAlignment="1">
      <alignment wrapText="1"/>
    </xf>
    <xf numFmtId="0" fontId="27" fillId="35" borderId="0" xfId="0" applyFont="1" applyFill="1" applyAlignment="1">
      <alignment wrapText="1"/>
    </xf>
    <xf numFmtId="0" fontId="27" fillId="10" borderId="0" xfId="0" applyFont="1" applyFill="1" applyAlignment="1">
      <alignment wrapText="1"/>
    </xf>
    <xf numFmtId="10" fontId="39" fillId="38" borderId="0" xfId="0" applyNumberFormat="1" applyFont="1" applyFill="1" applyAlignment="1">
      <alignment wrapText="1"/>
    </xf>
    <xf numFmtId="10" fontId="39" fillId="28" borderId="0" xfId="0" applyNumberFormat="1" applyFont="1" applyFill="1" applyAlignment="1">
      <alignment wrapText="1"/>
    </xf>
    <xf numFmtId="10" fontId="39" fillId="39" borderId="0" xfId="0" applyNumberFormat="1" applyFont="1" applyFill="1" applyAlignment="1">
      <alignment wrapText="1"/>
    </xf>
    <xf numFmtId="10" fontId="39" fillId="29" borderId="0" xfId="0" applyNumberFormat="1" applyFont="1" applyFill="1" applyAlignment="1">
      <alignment wrapText="1"/>
    </xf>
    <xf numFmtId="10" fontId="39" fillId="40" borderId="0" xfId="0" applyNumberFormat="1" applyFont="1" applyFill="1" applyAlignment="1">
      <alignment wrapText="1"/>
    </xf>
    <xf numFmtId="10" fontId="39" fillId="8" borderId="0" xfId="0" applyNumberFormat="1" applyFont="1" applyFill="1" applyAlignment="1">
      <alignment wrapText="1"/>
    </xf>
    <xf numFmtId="10" fontId="39" fillId="16" borderId="0" xfId="0" applyNumberFormat="1" applyFont="1" applyFill="1" applyAlignment="1">
      <alignment wrapText="1"/>
    </xf>
    <xf numFmtId="10" fontId="39" fillId="41" borderId="0" xfId="0" applyNumberFormat="1" applyFont="1" applyFill="1" applyAlignment="1">
      <alignment wrapText="1"/>
    </xf>
    <xf numFmtId="170" fontId="39" fillId="42" borderId="0" xfId="0" applyNumberFormat="1" applyFont="1" applyFill="1" applyAlignment="1">
      <alignment wrapText="1"/>
    </xf>
    <xf numFmtId="166" fontId="41" fillId="7" borderId="0" xfId="0" applyNumberFormat="1" applyFont="1" applyFill="1" applyAlignment="1">
      <alignment wrapText="1"/>
    </xf>
    <xf numFmtId="0" fontId="6" fillId="4" borderId="0" xfId="0" applyFont="1" applyFill="1" applyAlignment="1">
      <alignment wrapText="1"/>
    </xf>
    <xf numFmtId="0" fontId="0" fillId="5" borderId="0" xfId="0" applyFill="1" applyAlignment="1">
      <alignment wrapText="1"/>
    </xf>
    <xf numFmtId="0" fontId="0" fillId="6" borderId="0" xfId="0" applyFill="1" applyAlignment="1">
      <alignment wrapText="1"/>
    </xf>
    <xf numFmtId="3" fontId="0" fillId="13" borderId="0" xfId="0" applyNumberFormat="1" applyFill="1" applyAlignment="1">
      <alignment wrapText="1"/>
    </xf>
    <xf numFmtId="3" fontId="0" fillId="14" borderId="0" xfId="0" applyNumberFormat="1" applyFill="1" applyAlignment="1">
      <alignment wrapText="1"/>
    </xf>
    <xf numFmtId="3" fontId="0" fillId="15" borderId="0" xfId="0" applyNumberFormat="1" applyFill="1" applyAlignment="1">
      <alignment wrapText="1"/>
    </xf>
    <xf numFmtId="3" fontId="0" fillId="8" borderId="0" xfId="0" applyNumberFormat="1" applyFill="1" applyAlignment="1">
      <alignment wrapText="1"/>
    </xf>
    <xf numFmtId="0" fontId="0" fillId="16" borderId="0" xfId="0" applyFill="1" applyAlignment="1">
      <alignment wrapText="1"/>
    </xf>
    <xf numFmtId="0" fontId="0" fillId="17" borderId="0" xfId="0" applyFill="1" applyAlignment="1">
      <alignment wrapText="1"/>
    </xf>
  </cellXfs>
  <cellStyles count="1">
    <cellStyle name="Normal" xfId="0" builtinId="0"/>
  </cellStyles>
  <dxfs count="1">
    <dxf>
      <font>
        <color rgb="FFFF0000"/>
      </font>
      <fill>
        <patternFill patternType="solid">
          <fgColor indexed="64"/>
          <bgColor rgb="FFFF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Measurement Frequency Distribution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'Standard Deviation'!$B$44</c:f>
              <c:strCache>
                <c:ptCount val="1"/>
                <c:pt idx="0">
                  <c:v>Bin Label</c:v>
                </c:pt>
              </c:strCache>
            </c:strRef>
          </c:tx>
          <c:spPr>
            <a:solidFill>
              <a:schemeClr val="accent1"/>
            </a:solidFill>
            <a:ln>
              <a:noFill/>
            </a:ln>
            <a:effectLst/>
          </c:spPr>
          <c:invertIfNegative val="0"/>
          <c:val>
            <c:numRef>
              <c:f>'Standard Deviation'!$B$45:$B$52</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F791-46E0-8FAB-12CF4334BA28}"/>
            </c:ext>
          </c:extLst>
        </c:ser>
        <c:ser>
          <c:idx val="1"/>
          <c:order val="1"/>
          <c:tx>
            <c:strRef>
              <c:f>'Standard Deviation'!$C$44</c:f>
              <c:strCache>
                <c:ptCount val="1"/>
                <c:pt idx="0">
                  <c:v>Bin Upper Bound</c:v>
                </c:pt>
              </c:strCache>
            </c:strRef>
          </c:tx>
          <c:spPr>
            <a:solidFill>
              <a:schemeClr val="accent2"/>
            </a:solidFill>
            <a:ln>
              <a:noFill/>
            </a:ln>
            <a:effectLst/>
          </c:spPr>
          <c:invertIfNegative val="0"/>
          <c:val>
            <c:numRef>
              <c:f>'Standard Deviation'!$C$45:$C$52</c:f>
              <c:numCache>
                <c:formatCode>0.0000</c:formatCode>
                <c:ptCount val="8"/>
                <c:pt idx="0">
                  <c:v>4.8324999999999996</c:v>
                </c:pt>
                <c:pt idx="1">
                  <c:v>4.9049999999999994</c:v>
                </c:pt>
                <c:pt idx="2">
                  <c:v>4.9775</c:v>
                </c:pt>
                <c:pt idx="3">
                  <c:v>5.05</c:v>
                </c:pt>
                <c:pt idx="4">
                  <c:v>5.1224999999999996</c:v>
                </c:pt>
                <c:pt idx="5">
                  <c:v>5.1950000000000003</c:v>
                </c:pt>
                <c:pt idx="6">
                  <c:v>5.2675000000000001</c:v>
                </c:pt>
                <c:pt idx="7">
                  <c:v>5.34</c:v>
                </c:pt>
              </c:numCache>
            </c:numRef>
          </c:val>
          <c:extLst>
            <c:ext xmlns:c16="http://schemas.microsoft.com/office/drawing/2014/chart" uri="{C3380CC4-5D6E-409C-BE32-E72D297353CC}">
              <c16:uniqueId val="{00000001-F791-46E0-8FAB-12CF4334BA28}"/>
            </c:ext>
          </c:extLst>
        </c:ser>
        <c:ser>
          <c:idx val="2"/>
          <c:order val="2"/>
          <c:tx>
            <c:strRef>
              <c:f>'Standard Deviation'!$D$44</c:f>
              <c:strCache>
                <c:ptCount val="1"/>
                <c:pt idx="0">
                  <c:v>Frequency</c:v>
                </c:pt>
              </c:strCache>
            </c:strRef>
          </c:tx>
          <c:spPr>
            <a:solidFill>
              <a:schemeClr val="accent3"/>
            </a:solidFill>
            <a:ln>
              <a:noFill/>
            </a:ln>
            <a:effectLst/>
          </c:spPr>
          <c:invertIfNegative val="0"/>
          <c:val>
            <c:numRef>
              <c:f>'Standard Deviation'!$D$45:$D$52</c:f>
              <c:numCache>
                <c:formatCode>General</c:formatCode>
                <c:ptCount val="8"/>
                <c:pt idx="0">
                  <c:v>3</c:v>
                </c:pt>
                <c:pt idx="1">
                  <c:v>3</c:v>
                </c:pt>
                <c:pt idx="2">
                  <c:v>4</c:v>
                </c:pt>
                <c:pt idx="3">
                  <c:v>5</c:v>
                </c:pt>
                <c:pt idx="4">
                  <c:v>6</c:v>
                </c:pt>
                <c:pt idx="5">
                  <c:v>5</c:v>
                </c:pt>
                <c:pt idx="6">
                  <c:v>2</c:v>
                </c:pt>
                <c:pt idx="7">
                  <c:v>2</c:v>
                </c:pt>
              </c:numCache>
            </c:numRef>
          </c:val>
          <c:extLst>
            <c:ext xmlns:c16="http://schemas.microsoft.com/office/drawing/2014/chart" uri="{C3380CC4-5D6E-409C-BE32-E72D297353CC}">
              <c16:uniqueId val="{00000002-F791-46E0-8FAB-12CF4334BA28}"/>
            </c:ext>
          </c:extLst>
        </c:ser>
        <c:dLbls>
          <c:showLegendKey val="0"/>
          <c:showVal val="0"/>
          <c:showCatName val="0"/>
          <c:showSerName val="0"/>
          <c:showPercent val="0"/>
          <c:showBubbleSize val="0"/>
        </c:dLbls>
        <c:gapWidth val="219"/>
        <c:overlap val="-27"/>
        <c:axId val="87742272"/>
        <c:axId val="87742752"/>
      </c:barChart>
      <c:catAx>
        <c:axId val="877422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Value Bins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742752"/>
        <c:crosses val="autoZero"/>
        <c:auto val="1"/>
        <c:lblAlgn val="ctr"/>
        <c:lblOffset val="100"/>
        <c:noMultiLvlLbl val="0"/>
      </c:catAx>
      <c:valAx>
        <c:axId val="87742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7422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73025</xdr:colOff>
      <xdr:row>53</xdr:row>
      <xdr:rowOff>6350</xdr:rowOff>
    </xdr:from>
    <xdr:to>
      <xdr:col>2</xdr:col>
      <xdr:colOff>1387475</xdr:colOff>
      <xdr:row>71</xdr:row>
      <xdr:rowOff>19050</xdr:rowOff>
    </xdr:to>
    <xdr:graphicFrame macro="">
      <xdr:nvGraphicFramePr>
        <xdr:cNvPr id="2" name="Chart 1">
          <a:extLst>
            <a:ext uri="{FF2B5EF4-FFF2-40B4-BE49-F238E27FC236}">
              <a16:creationId xmlns:a16="http://schemas.microsoft.com/office/drawing/2014/main" id="{087EA69C-496C-C59D-6583-326150CD0B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B272F9BB-6D25-4A75-9DB5-A5D540A92F06}">
  <we:reference id="wa200009404" version="1.0.0.8" store="en-US" storeType="OMEX"/>
  <we:alternateReferences>
    <we:reference id="WA200009404" version="1.0.0.8" store="" storeType="OMEX"/>
  </we:alternateReferences>
  <we:properties>
    <we:property name="claude.fileId" value="&quot;c289f269-9b0e-493d-816d-116fbdec68a0&quot;"/>
  </we:properties>
  <we:bindings/>
  <we:snapshot xmlns:r="http://schemas.openxmlformats.org/officeDocument/2006/relationships"/>
</we:webextension>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A24E5-FF2A-4F06-89A4-24937BF0B84E}">
  <sheetPr>
    <tabColor rgb="FF1F3864"/>
  </sheetPr>
  <dimension ref="B2:E57"/>
  <sheetViews>
    <sheetView tabSelected="1" workbookViewId="0"/>
  </sheetViews>
  <sheetFormatPr defaultRowHeight="15" x14ac:dyDescent="0.25"/>
  <cols>
    <col min="2" max="2" width="89.42578125" customWidth="1"/>
    <col min="3" max="3" width="53.5703125" style="6" customWidth="1"/>
    <col min="4" max="4" width="11.7109375" bestFit="1" customWidth="1"/>
  </cols>
  <sheetData>
    <row r="2" spans="2:3" ht="33.75" x14ac:dyDescent="0.5">
      <c r="B2" s="2" t="s">
        <v>0</v>
      </c>
    </row>
    <row r="3" spans="2:3" ht="17.25" x14ac:dyDescent="0.3">
      <c r="B3" s="3" t="s">
        <v>1</v>
      </c>
    </row>
    <row r="4" spans="2:3" x14ac:dyDescent="0.25">
      <c r="B4" s="4" t="s">
        <v>2</v>
      </c>
    </row>
    <row r="6" spans="2:3" ht="18.75" x14ac:dyDescent="0.3">
      <c r="B6" s="5" t="s">
        <v>3</v>
      </c>
    </row>
    <row r="7" spans="2:3" ht="60" x14ac:dyDescent="0.25">
      <c r="B7" s="6" t="s">
        <v>4</v>
      </c>
    </row>
    <row r="9" spans="2:3" ht="18.75" x14ac:dyDescent="0.3">
      <c r="B9" s="7" t="s">
        <v>5</v>
      </c>
    </row>
    <row r="10" spans="2:3" x14ac:dyDescent="0.25">
      <c r="B10" s="8" t="s">
        <v>6</v>
      </c>
      <c r="C10" s="215" t="s">
        <v>7</v>
      </c>
    </row>
    <row r="11" spans="2:3" ht="30" x14ac:dyDescent="0.25">
      <c r="B11" s="11" t="s">
        <v>8</v>
      </c>
      <c r="C11" s="216" t="s">
        <v>9</v>
      </c>
    </row>
    <row r="12" spans="2:3" ht="30" x14ac:dyDescent="0.25">
      <c r="B12" s="12" t="s">
        <v>10</v>
      </c>
      <c r="C12" s="217" t="s">
        <v>11</v>
      </c>
    </row>
    <row r="13" spans="2:3" ht="30" x14ac:dyDescent="0.25">
      <c r="B13" s="11" t="s">
        <v>12</v>
      </c>
      <c r="C13" s="216" t="s">
        <v>13</v>
      </c>
    </row>
    <row r="14" spans="2:3" ht="30" x14ac:dyDescent="0.25">
      <c r="B14" s="12" t="s">
        <v>14</v>
      </c>
      <c r="C14" s="217" t="s">
        <v>15</v>
      </c>
    </row>
    <row r="15" spans="2:3" ht="30" x14ac:dyDescent="0.25">
      <c r="B15" s="11" t="s">
        <v>16</v>
      </c>
      <c r="C15" s="216" t="s">
        <v>17</v>
      </c>
    </row>
    <row r="16" spans="2:3" ht="30" x14ac:dyDescent="0.25">
      <c r="B16" s="12" t="s">
        <v>18</v>
      </c>
      <c r="C16" s="217" t="s">
        <v>19</v>
      </c>
    </row>
    <row r="18" spans="2:2" ht="18.75" x14ac:dyDescent="0.3">
      <c r="B18" s="13" t="s">
        <v>20</v>
      </c>
    </row>
    <row r="19" spans="2:2" x14ac:dyDescent="0.25">
      <c r="B19" s="14" t="s">
        <v>21</v>
      </c>
    </row>
    <row r="20" spans="2:2" ht="45" x14ac:dyDescent="0.25">
      <c r="B20" s="6" t="s">
        <v>22</v>
      </c>
    </row>
    <row r="21" spans="2:2" x14ac:dyDescent="0.25">
      <c r="B21" s="14" t="s">
        <v>23</v>
      </c>
    </row>
    <row r="22" spans="2:2" ht="30" x14ac:dyDescent="0.25">
      <c r="B22" s="6" t="s">
        <v>24</v>
      </c>
    </row>
    <row r="23" spans="2:2" x14ac:dyDescent="0.25">
      <c r="B23" s="14" t="s">
        <v>25</v>
      </c>
    </row>
    <row r="24" spans="2:2" ht="30" x14ac:dyDescent="0.25">
      <c r="B24" s="6" t="s">
        <v>26</v>
      </c>
    </row>
    <row r="25" spans="2:2" x14ac:dyDescent="0.25">
      <c r="B25" s="14" t="s">
        <v>27</v>
      </c>
    </row>
    <row r="26" spans="2:2" ht="30" x14ac:dyDescent="0.25">
      <c r="B26" s="6" t="s">
        <v>28</v>
      </c>
    </row>
    <row r="27" spans="2:2" x14ac:dyDescent="0.25">
      <c r="B27" s="14" t="s">
        <v>29</v>
      </c>
    </row>
    <row r="28" spans="2:2" ht="30" x14ac:dyDescent="0.25">
      <c r="B28" s="6" t="s">
        <v>30</v>
      </c>
    </row>
    <row r="30" spans="2:2" ht="18.75" x14ac:dyDescent="0.3">
      <c r="B30" s="15" t="s">
        <v>31</v>
      </c>
    </row>
    <row r="31" spans="2:2" x14ac:dyDescent="0.25">
      <c r="B31" s="16" t="s">
        <v>32</v>
      </c>
    </row>
    <row r="32" spans="2:2" ht="45" x14ac:dyDescent="0.25">
      <c r="B32" s="6" t="s">
        <v>33</v>
      </c>
    </row>
    <row r="33" spans="2:2" x14ac:dyDescent="0.25">
      <c r="B33" s="16" t="s">
        <v>34</v>
      </c>
    </row>
    <row r="34" spans="2:2" ht="30" x14ac:dyDescent="0.25">
      <c r="B34" s="6" t="s">
        <v>35</v>
      </c>
    </row>
    <row r="35" spans="2:2" x14ac:dyDescent="0.25">
      <c r="B35" s="16" t="s">
        <v>36</v>
      </c>
    </row>
    <row r="36" spans="2:2" ht="30" x14ac:dyDescent="0.25">
      <c r="B36" s="6" t="s">
        <v>37</v>
      </c>
    </row>
    <row r="37" spans="2:2" x14ac:dyDescent="0.25">
      <c r="B37" s="16" t="s">
        <v>38</v>
      </c>
    </row>
    <row r="38" spans="2:2" ht="30" x14ac:dyDescent="0.25">
      <c r="B38" s="6" t="s">
        <v>39</v>
      </c>
    </row>
    <row r="39" spans="2:2" x14ac:dyDescent="0.25">
      <c r="B39" s="16" t="s">
        <v>40</v>
      </c>
    </row>
    <row r="40" spans="2:2" ht="30" x14ac:dyDescent="0.25">
      <c r="B40" s="6" t="s">
        <v>41</v>
      </c>
    </row>
    <row r="41" spans="2:2" x14ac:dyDescent="0.25">
      <c r="B41" s="16" t="s">
        <v>42</v>
      </c>
    </row>
    <row r="42" spans="2:2" ht="30" x14ac:dyDescent="0.25">
      <c r="B42" s="6" t="s">
        <v>43</v>
      </c>
    </row>
    <row r="43" spans="2:2" x14ac:dyDescent="0.25">
      <c r="B43" s="16" t="s">
        <v>44</v>
      </c>
    </row>
    <row r="44" spans="2:2" ht="30" x14ac:dyDescent="0.25">
      <c r="B44" s="6" t="s">
        <v>45</v>
      </c>
    </row>
    <row r="45" spans="2:2" x14ac:dyDescent="0.25">
      <c r="B45" s="16" t="s">
        <v>46</v>
      </c>
    </row>
    <row r="46" spans="2:2" ht="30" x14ac:dyDescent="0.25">
      <c r="B46" s="6" t="s">
        <v>47</v>
      </c>
    </row>
    <row r="48" spans="2:2" ht="18.75" x14ac:dyDescent="0.3">
      <c r="B48" s="17" t="s">
        <v>48</v>
      </c>
    </row>
    <row r="49" spans="2:5" x14ac:dyDescent="0.25">
      <c r="B49" s="18" t="s">
        <v>49</v>
      </c>
      <c r="C49" s="199" t="s">
        <v>50</v>
      </c>
      <c r="D49" s="18" t="s">
        <v>51</v>
      </c>
      <c r="E49" s="18" t="s">
        <v>52</v>
      </c>
    </row>
    <row r="50" spans="2:5" x14ac:dyDescent="0.25">
      <c r="B50" s="21" t="s">
        <v>53</v>
      </c>
      <c r="C50" s="218">
        <v>691462</v>
      </c>
      <c r="D50" s="20">
        <v>0.6915</v>
      </c>
      <c r="E50" s="20">
        <v>0.3085</v>
      </c>
    </row>
    <row r="51" spans="2:5" x14ac:dyDescent="0.25">
      <c r="B51" s="24" t="s">
        <v>54</v>
      </c>
      <c r="C51" s="219">
        <v>308538</v>
      </c>
      <c r="D51" s="23">
        <v>0.3085</v>
      </c>
      <c r="E51" s="23">
        <v>0.6915</v>
      </c>
    </row>
    <row r="52" spans="2:5" x14ac:dyDescent="0.25">
      <c r="B52" s="27" t="s">
        <v>55</v>
      </c>
      <c r="C52" s="220">
        <v>66807</v>
      </c>
      <c r="D52" s="26">
        <v>6.6799999999999998E-2</v>
      </c>
      <c r="E52" s="26">
        <v>0.93320000000000003</v>
      </c>
    </row>
    <row r="53" spans="2:5" x14ac:dyDescent="0.25">
      <c r="B53" s="30" t="s">
        <v>56</v>
      </c>
      <c r="C53" s="221">
        <v>6210</v>
      </c>
      <c r="D53" s="29">
        <v>6.1999999999999998E-3</v>
      </c>
      <c r="E53" s="29">
        <v>0.99380000000000002</v>
      </c>
    </row>
    <row r="54" spans="2:5" x14ac:dyDescent="0.25">
      <c r="B54" s="33" t="s">
        <v>57</v>
      </c>
      <c r="C54" s="222">
        <v>233</v>
      </c>
      <c r="D54" s="174">
        <v>2.0000000000000001E-4</v>
      </c>
      <c r="E54" s="32">
        <v>0.99980000000000002</v>
      </c>
    </row>
    <row r="55" spans="2:5" x14ac:dyDescent="0.25">
      <c r="B55" s="35" t="s">
        <v>58</v>
      </c>
      <c r="C55" s="223">
        <v>3.4</v>
      </c>
      <c r="D55" s="175">
        <v>3.0000000000000001E-6</v>
      </c>
      <c r="E55" s="175">
        <v>0.99999700000000002</v>
      </c>
    </row>
    <row r="57" spans="2:5" ht="30" x14ac:dyDescent="0.25">
      <c r="B57" s="36" t="s">
        <v>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99A7B-8C8D-4E6C-A696-D7B44A7B9624}">
  <sheetPr>
    <tabColor rgb="FF2E75B6"/>
  </sheetPr>
  <dimension ref="B2:F115"/>
  <sheetViews>
    <sheetView workbookViewId="0"/>
  </sheetViews>
  <sheetFormatPr defaultRowHeight="15" x14ac:dyDescent="0.25"/>
  <cols>
    <col min="2" max="2" width="65.85546875" bestFit="1" customWidth="1"/>
    <col min="3" max="3" width="15.42578125" bestFit="1" customWidth="1"/>
    <col min="4" max="4" width="31.85546875" bestFit="1" customWidth="1"/>
    <col min="5" max="5" width="23" bestFit="1" customWidth="1"/>
    <col min="6" max="6" width="31.28515625" bestFit="1" customWidth="1"/>
  </cols>
  <sheetData>
    <row r="2" spans="2:6" ht="24" x14ac:dyDescent="0.4">
      <c r="B2" s="37" t="s">
        <v>60</v>
      </c>
    </row>
    <row r="3" spans="2:6" x14ac:dyDescent="0.25">
      <c r="B3" s="38" t="s">
        <v>61</v>
      </c>
    </row>
    <row r="5" spans="2:6" ht="17.25" x14ac:dyDescent="0.3">
      <c r="B5" s="39" t="s">
        <v>62</v>
      </c>
      <c r="E5" s="49" t="s">
        <v>77</v>
      </c>
    </row>
    <row r="6" spans="2:6" x14ac:dyDescent="0.25">
      <c r="B6" s="28" t="s">
        <v>63</v>
      </c>
      <c r="C6" s="43">
        <v>10</v>
      </c>
      <c r="D6" s="44" t="s">
        <v>65</v>
      </c>
      <c r="E6" s="51" t="s">
        <v>78</v>
      </c>
      <c r="F6" s="57">
        <f>COUNTA('Data Entry'!C16:C115)</f>
        <v>30</v>
      </c>
    </row>
    <row r="7" spans="2:6" x14ac:dyDescent="0.25">
      <c r="B7" s="28" t="s">
        <v>64</v>
      </c>
      <c r="C7" s="42">
        <v>0</v>
      </c>
      <c r="D7" s="44" t="s">
        <v>66</v>
      </c>
      <c r="E7" s="9" t="s">
        <v>79</v>
      </c>
      <c r="F7" s="58">
        <f>IF(COUNTA(C16:C115)=0,"No data",MIN(C16:C115))</f>
        <v>4.76</v>
      </c>
    </row>
    <row r="8" spans="2:6" x14ac:dyDescent="0.25">
      <c r="E8" s="51" t="s">
        <v>80</v>
      </c>
      <c r="F8" s="59">
        <f>IF(COUNTA(C16:C115)=0,"No data",MAX(C16:C115))</f>
        <v>5.34</v>
      </c>
    </row>
    <row r="9" spans="2:6" ht="17.25" x14ac:dyDescent="0.3">
      <c r="B9" s="45" t="s">
        <v>67</v>
      </c>
      <c r="E9" s="9" t="s">
        <v>81</v>
      </c>
      <c r="F9" s="58">
        <f>IF(COUNTA(C16:C115)=0,"No data",MAX(C16:C115)-MIN(C16:C115))</f>
        <v>0.58000000000000007</v>
      </c>
    </row>
    <row r="10" spans="2:6" x14ac:dyDescent="0.25">
      <c r="B10" s="46" t="s">
        <v>68</v>
      </c>
      <c r="C10" s="48">
        <v>500</v>
      </c>
      <c r="D10" s="47" t="s">
        <v>69</v>
      </c>
      <c r="E10" s="51" t="s">
        <v>82</v>
      </c>
      <c r="F10" s="59">
        <f>IF(COUNTA(C16:C115)=0,"No data",AVERAGE(C16:C115))</f>
        <v>5.0409999999999986</v>
      </c>
    </row>
    <row r="11" spans="2:6" x14ac:dyDescent="0.25">
      <c r="B11" s="46" t="s">
        <v>70</v>
      </c>
      <c r="C11" s="48">
        <v>15</v>
      </c>
      <c r="D11" s="47" t="s">
        <v>71</v>
      </c>
      <c r="E11" s="9" t="s">
        <v>83</v>
      </c>
      <c r="F11" s="58">
        <f>IF(COUNTA(C16:C115)&lt;2,"Need ≥2 pts",STDEV(C16:C115))</f>
        <v>0.14523108815097832</v>
      </c>
    </row>
    <row r="12" spans="2:6" x14ac:dyDescent="0.25">
      <c r="B12" s="46" t="s">
        <v>72</v>
      </c>
      <c r="C12" s="41">
        <v>8</v>
      </c>
      <c r="D12" s="47" t="s">
        <v>73</v>
      </c>
      <c r="E12" s="51" t="s">
        <v>84</v>
      </c>
      <c r="F12" s="59">
        <f>IF(COUNTA(C16:C115)=0,"No data",STDEVP(C16:C115))</f>
        <v>0.14279005567615694</v>
      </c>
    </row>
    <row r="13" spans="2:6" x14ac:dyDescent="0.25">
      <c r="E13" s="9" t="s">
        <v>85</v>
      </c>
      <c r="F13" s="58">
        <f>C6</f>
        <v>10</v>
      </c>
    </row>
    <row r="14" spans="2:6" ht="17.25" x14ac:dyDescent="0.3">
      <c r="B14" s="49" t="s">
        <v>74</v>
      </c>
      <c r="E14" s="51" t="s">
        <v>86</v>
      </c>
      <c r="F14" s="59">
        <f>C7</f>
        <v>0</v>
      </c>
    </row>
    <row r="15" spans="2:6" x14ac:dyDescent="0.25">
      <c r="B15" s="50" t="s">
        <v>75</v>
      </c>
      <c r="C15" s="50" t="s">
        <v>76</v>
      </c>
      <c r="D15" s="50" t="s">
        <v>75</v>
      </c>
      <c r="E15" s="60" t="s">
        <v>87</v>
      </c>
      <c r="F15" s="58">
        <f>C6-C7</f>
        <v>10</v>
      </c>
    </row>
    <row r="16" spans="2:6" x14ac:dyDescent="0.25">
      <c r="B16" s="52">
        <v>1</v>
      </c>
      <c r="C16" s="54">
        <v>5.12</v>
      </c>
      <c r="E16" s="1" t="str">
        <f>IF(C6&lt;=C7,"⚠️ WARNING: USL must be greater than LSL!","✅ Spec limits are valid")</f>
        <v>✅ Spec limits are valid</v>
      </c>
    </row>
    <row r="17" spans="2:6" x14ac:dyDescent="0.25">
      <c r="B17" s="52">
        <v>2</v>
      </c>
      <c r="C17" s="54">
        <v>4.9800000000000004</v>
      </c>
    </row>
    <row r="18" spans="2:6" ht="15.75" x14ac:dyDescent="0.25">
      <c r="B18" s="52">
        <v>3</v>
      </c>
      <c r="C18" s="54">
        <v>5.05</v>
      </c>
      <c r="E18" s="61" t="s">
        <v>88</v>
      </c>
    </row>
    <row r="19" spans="2:6" x14ac:dyDescent="0.25">
      <c r="B19" s="52">
        <v>4</v>
      </c>
      <c r="C19" s="54">
        <v>5.23</v>
      </c>
      <c r="E19" s="40" t="s">
        <v>89</v>
      </c>
      <c r="F19" s="62" t="s">
        <v>90</v>
      </c>
    </row>
    <row r="20" spans="2:6" x14ac:dyDescent="0.25">
      <c r="B20" s="52">
        <v>5</v>
      </c>
      <c r="C20" s="54">
        <v>4.87</v>
      </c>
      <c r="E20" s="53" t="s">
        <v>89</v>
      </c>
      <c r="F20" s="62" t="s">
        <v>91</v>
      </c>
    </row>
    <row r="21" spans="2:6" x14ac:dyDescent="0.25">
      <c r="B21" s="52">
        <v>6</v>
      </c>
      <c r="C21" s="54">
        <v>5.1100000000000003</v>
      </c>
      <c r="E21" s="57" t="s">
        <v>89</v>
      </c>
      <c r="F21" s="62" t="s">
        <v>92</v>
      </c>
    </row>
    <row r="22" spans="2:6" x14ac:dyDescent="0.25">
      <c r="B22" s="52">
        <v>7</v>
      </c>
      <c r="C22" s="54">
        <v>4.95</v>
      </c>
    </row>
    <row r="23" spans="2:6" x14ac:dyDescent="0.25">
      <c r="B23" s="52">
        <v>8</v>
      </c>
      <c r="C23" s="54">
        <v>5.08</v>
      </c>
    </row>
    <row r="24" spans="2:6" x14ac:dyDescent="0.25">
      <c r="B24" s="52">
        <v>9</v>
      </c>
      <c r="C24" s="54">
        <v>5.19</v>
      </c>
    </row>
    <row r="25" spans="2:6" x14ac:dyDescent="0.25">
      <c r="B25" s="52">
        <v>10</v>
      </c>
      <c r="C25" s="54">
        <v>4.92</v>
      </c>
    </row>
    <row r="26" spans="2:6" x14ac:dyDescent="0.25">
      <c r="B26" s="52">
        <v>11</v>
      </c>
      <c r="C26" s="54">
        <v>5.34</v>
      </c>
    </row>
    <row r="27" spans="2:6" x14ac:dyDescent="0.25">
      <c r="B27" s="52">
        <v>12</v>
      </c>
      <c r="C27" s="54">
        <v>4.76</v>
      </c>
    </row>
    <row r="28" spans="2:6" x14ac:dyDescent="0.25">
      <c r="B28" s="52">
        <v>13</v>
      </c>
      <c r="C28" s="54">
        <v>5.0199999999999996</v>
      </c>
    </row>
    <row r="29" spans="2:6" x14ac:dyDescent="0.25">
      <c r="B29" s="52">
        <v>14</v>
      </c>
      <c r="C29" s="54">
        <v>5.15</v>
      </c>
    </row>
    <row r="30" spans="2:6" x14ac:dyDescent="0.25">
      <c r="B30" s="52">
        <v>15</v>
      </c>
      <c r="C30" s="54">
        <v>4.88</v>
      </c>
    </row>
    <row r="31" spans="2:6" x14ac:dyDescent="0.25">
      <c r="B31" s="52">
        <v>16</v>
      </c>
      <c r="C31" s="54">
        <v>5.07</v>
      </c>
    </row>
    <row r="32" spans="2:6" x14ac:dyDescent="0.25">
      <c r="B32" s="52">
        <v>17</v>
      </c>
      <c r="C32" s="54">
        <v>4.99</v>
      </c>
    </row>
    <row r="33" spans="2:3" x14ac:dyDescent="0.25">
      <c r="B33" s="52">
        <v>18</v>
      </c>
      <c r="C33" s="54">
        <v>5.21</v>
      </c>
    </row>
    <row r="34" spans="2:3" x14ac:dyDescent="0.25">
      <c r="B34" s="52">
        <v>19</v>
      </c>
      <c r="C34" s="54">
        <v>4.83</v>
      </c>
    </row>
    <row r="35" spans="2:3" x14ac:dyDescent="0.25">
      <c r="B35" s="52">
        <v>20</v>
      </c>
      <c r="C35" s="54">
        <v>5.16</v>
      </c>
    </row>
    <row r="36" spans="2:3" x14ac:dyDescent="0.25">
      <c r="B36" s="52">
        <v>21</v>
      </c>
      <c r="C36" s="54">
        <v>5.03</v>
      </c>
    </row>
    <row r="37" spans="2:3" x14ac:dyDescent="0.25">
      <c r="B37" s="52">
        <v>22</v>
      </c>
      <c r="C37" s="54">
        <v>4.9400000000000004</v>
      </c>
    </row>
    <row r="38" spans="2:3" x14ac:dyDescent="0.25">
      <c r="B38" s="52">
        <v>23</v>
      </c>
      <c r="C38" s="54">
        <v>5.18</v>
      </c>
    </row>
    <row r="39" spans="2:3" x14ac:dyDescent="0.25">
      <c r="B39" s="52">
        <v>24</v>
      </c>
      <c r="C39" s="54">
        <v>4.8099999999999996</v>
      </c>
    </row>
    <row r="40" spans="2:3" x14ac:dyDescent="0.25">
      <c r="B40" s="52">
        <v>25</v>
      </c>
      <c r="C40" s="54">
        <v>5.09</v>
      </c>
    </row>
    <row r="41" spans="2:3" x14ac:dyDescent="0.25">
      <c r="B41" s="52">
        <v>26</v>
      </c>
      <c r="C41" s="54">
        <v>5.27</v>
      </c>
    </row>
    <row r="42" spans="2:3" x14ac:dyDescent="0.25">
      <c r="B42" s="52">
        <v>27</v>
      </c>
      <c r="C42" s="54">
        <v>4.91</v>
      </c>
    </row>
    <row r="43" spans="2:3" x14ac:dyDescent="0.25">
      <c r="B43" s="52">
        <v>28</v>
      </c>
      <c r="C43" s="54">
        <v>5.0599999999999996</v>
      </c>
    </row>
    <row r="44" spans="2:3" x14ac:dyDescent="0.25">
      <c r="B44" s="52">
        <v>29</v>
      </c>
      <c r="C44" s="54">
        <v>5.14</v>
      </c>
    </row>
    <row r="45" spans="2:3" x14ac:dyDescent="0.25">
      <c r="B45" s="52">
        <v>30</v>
      </c>
      <c r="C45" s="54">
        <v>4.8899999999999997</v>
      </c>
    </row>
    <row r="46" spans="2:3" x14ac:dyDescent="0.25">
      <c r="B46" s="55">
        <v>31</v>
      </c>
      <c r="C46" s="56"/>
    </row>
    <row r="47" spans="2:3" x14ac:dyDescent="0.25">
      <c r="B47" s="55">
        <v>32</v>
      </c>
      <c r="C47" s="56"/>
    </row>
    <row r="48" spans="2:3" x14ac:dyDescent="0.25">
      <c r="B48" s="55">
        <v>33</v>
      </c>
      <c r="C48" s="56"/>
    </row>
    <row r="49" spans="2:3" x14ac:dyDescent="0.25">
      <c r="B49" s="55">
        <v>34</v>
      </c>
      <c r="C49" s="56"/>
    </row>
    <row r="50" spans="2:3" x14ac:dyDescent="0.25">
      <c r="B50" s="55">
        <v>35</v>
      </c>
      <c r="C50" s="56"/>
    </row>
    <row r="51" spans="2:3" x14ac:dyDescent="0.25">
      <c r="B51" s="55">
        <v>36</v>
      </c>
      <c r="C51" s="56"/>
    </row>
    <row r="52" spans="2:3" x14ac:dyDescent="0.25">
      <c r="B52" s="55">
        <v>37</v>
      </c>
      <c r="C52" s="56"/>
    </row>
    <row r="53" spans="2:3" x14ac:dyDescent="0.25">
      <c r="B53" s="55">
        <v>38</v>
      </c>
      <c r="C53" s="56"/>
    </row>
    <row r="54" spans="2:3" x14ac:dyDescent="0.25">
      <c r="B54" s="55">
        <v>39</v>
      </c>
      <c r="C54" s="56"/>
    </row>
    <row r="55" spans="2:3" x14ac:dyDescent="0.25">
      <c r="B55" s="55">
        <v>40</v>
      </c>
      <c r="C55" s="56"/>
    </row>
    <row r="56" spans="2:3" x14ac:dyDescent="0.25">
      <c r="B56" s="55">
        <v>41</v>
      </c>
      <c r="C56" s="56"/>
    </row>
    <row r="57" spans="2:3" x14ac:dyDescent="0.25">
      <c r="B57" s="55">
        <v>42</v>
      </c>
      <c r="C57" s="56"/>
    </row>
    <row r="58" spans="2:3" x14ac:dyDescent="0.25">
      <c r="B58" s="55">
        <v>43</v>
      </c>
      <c r="C58" s="56"/>
    </row>
    <row r="59" spans="2:3" x14ac:dyDescent="0.25">
      <c r="B59" s="55">
        <v>44</v>
      </c>
      <c r="C59" s="56"/>
    </row>
    <row r="60" spans="2:3" x14ac:dyDescent="0.25">
      <c r="B60" s="55">
        <v>45</v>
      </c>
      <c r="C60" s="56"/>
    </row>
    <row r="61" spans="2:3" x14ac:dyDescent="0.25">
      <c r="B61" s="55">
        <v>46</v>
      </c>
      <c r="C61" s="56"/>
    </row>
    <row r="62" spans="2:3" x14ac:dyDescent="0.25">
      <c r="B62" s="55">
        <v>47</v>
      </c>
      <c r="C62" s="56"/>
    </row>
    <row r="63" spans="2:3" x14ac:dyDescent="0.25">
      <c r="B63" s="55">
        <v>48</v>
      </c>
      <c r="C63" s="56"/>
    </row>
    <row r="64" spans="2:3" x14ac:dyDescent="0.25">
      <c r="B64" s="55">
        <v>49</v>
      </c>
      <c r="C64" s="56"/>
    </row>
    <row r="65" spans="2:3" x14ac:dyDescent="0.25">
      <c r="B65" s="55">
        <v>50</v>
      </c>
      <c r="C65" s="56"/>
    </row>
    <row r="66" spans="2:3" x14ac:dyDescent="0.25">
      <c r="B66" s="55">
        <v>51</v>
      </c>
      <c r="C66" s="56"/>
    </row>
    <row r="67" spans="2:3" x14ac:dyDescent="0.25">
      <c r="B67" s="55">
        <v>52</v>
      </c>
      <c r="C67" s="56"/>
    </row>
    <row r="68" spans="2:3" x14ac:dyDescent="0.25">
      <c r="B68" s="55">
        <v>53</v>
      </c>
      <c r="C68" s="56"/>
    </row>
    <row r="69" spans="2:3" x14ac:dyDescent="0.25">
      <c r="B69" s="55">
        <v>54</v>
      </c>
      <c r="C69" s="56"/>
    </row>
    <row r="70" spans="2:3" x14ac:dyDescent="0.25">
      <c r="B70" s="55">
        <v>55</v>
      </c>
      <c r="C70" s="56"/>
    </row>
    <row r="71" spans="2:3" x14ac:dyDescent="0.25">
      <c r="B71" s="55">
        <v>56</v>
      </c>
      <c r="C71" s="56"/>
    </row>
    <row r="72" spans="2:3" x14ac:dyDescent="0.25">
      <c r="B72" s="55">
        <v>57</v>
      </c>
      <c r="C72" s="56"/>
    </row>
    <row r="73" spans="2:3" x14ac:dyDescent="0.25">
      <c r="B73" s="55">
        <v>58</v>
      </c>
      <c r="C73" s="56"/>
    </row>
    <row r="74" spans="2:3" x14ac:dyDescent="0.25">
      <c r="B74" s="55">
        <v>59</v>
      </c>
      <c r="C74" s="56"/>
    </row>
    <row r="75" spans="2:3" x14ac:dyDescent="0.25">
      <c r="B75" s="55">
        <v>60</v>
      </c>
      <c r="C75" s="56"/>
    </row>
    <row r="76" spans="2:3" x14ac:dyDescent="0.25">
      <c r="B76" s="55">
        <v>61</v>
      </c>
      <c r="C76" s="56"/>
    </row>
    <row r="77" spans="2:3" x14ac:dyDescent="0.25">
      <c r="B77" s="55">
        <v>62</v>
      </c>
      <c r="C77" s="56"/>
    </row>
    <row r="78" spans="2:3" x14ac:dyDescent="0.25">
      <c r="B78" s="55">
        <v>63</v>
      </c>
      <c r="C78" s="56"/>
    </row>
    <row r="79" spans="2:3" x14ac:dyDescent="0.25">
      <c r="B79" s="55">
        <v>64</v>
      </c>
      <c r="C79" s="56"/>
    </row>
    <row r="80" spans="2:3" x14ac:dyDescent="0.25">
      <c r="B80" s="55">
        <v>65</v>
      </c>
      <c r="C80" s="56"/>
    </row>
    <row r="81" spans="2:3" x14ac:dyDescent="0.25">
      <c r="B81" s="55">
        <v>66</v>
      </c>
      <c r="C81" s="56"/>
    </row>
    <row r="82" spans="2:3" x14ac:dyDescent="0.25">
      <c r="B82" s="55">
        <v>67</v>
      </c>
      <c r="C82" s="56"/>
    </row>
    <row r="83" spans="2:3" x14ac:dyDescent="0.25">
      <c r="B83" s="55">
        <v>68</v>
      </c>
      <c r="C83" s="56"/>
    </row>
    <row r="84" spans="2:3" x14ac:dyDescent="0.25">
      <c r="B84" s="55">
        <v>69</v>
      </c>
      <c r="C84" s="56"/>
    </row>
    <row r="85" spans="2:3" x14ac:dyDescent="0.25">
      <c r="B85" s="55">
        <v>70</v>
      </c>
      <c r="C85" s="56"/>
    </row>
    <row r="86" spans="2:3" x14ac:dyDescent="0.25">
      <c r="B86" s="55">
        <v>71</v>
      </c>
      <c r="C86" s="56"/>
    </row>
    <row r="87" spans="2:3" x14ac:dyDescent="0.25">
      <c r="B87" s="55">
        <v>72</v>
      </c>
      <c r="C87" s="56"/>
    </row>
    <row r="88" spans="2:3" x14ac:dyDescent="0.25">
      <c r="B88" s="55">
        <v>73</v>
      </c>
      <c r="C88" s="56"/>
    </row>
    <row r="89" spans="2:3" x14ac:dyDescent="0.25">
      <c r="B89" s="55">
        <v>74</v>
      </c>
      <c r="C89" s="56"/>
    </row>
    <row r="90" spans="2:3" x14ac:dyDescent="0.25">
      <c r="B90" s="55">
        <v>75</v>
      </c>
      <c r="C90" s="56"/>
    </row>
    <row r="91" spans="2:3" x14ac:dyDescent="0.25">
      <c r="B91" s="55">
        <v>76</v>
      </c>
      <c r="C91" s="56"/>
    </row>
    <row r="92" spans="2:3" x14ac:dyDescent="0.25">
      <c r="B92" s="55">
        <v>77</v>
      </c>
      <c r="C92" s="56"/>
    </row>
    <row r="93" spans="2:3" x14ac:dyDescent="0.25">
      <c r="B93" s="55">
        <v>78</v>
      </c>
      <c r="C93" s="56"/>
    </row>
    <row r="94" spans="2:3" x14ac:dyDescent="0.25">
      <c r="B94" s="55">
        <v>79</v>
      </c>
      <c r="C94" s="56"/>
    </row>
    <row r="95" spans="2:3" x14ac:dyDescent="0.25">
      <c r="B95" s="55">
        <v>80</v>
      </c>
      <c r="C95" s="56"/>
    </row>
    <row r="96" spans="2:3" x14ac:dyDescent="0.25">
      <c r="B96" s="55">
        <v>81</v>
      </c>
      <c r="C96" s="56"/>
    </row>
    <row r="97" spans="2:3" x14ac:dyDescent="0.25">
      <c r="B97" s="55">
        <v>82</v>
      </c>
      <c r="C97" s="56"/>
    </row>
    <row r="98" spans="2:3" x14ac:dyDescent="0.25">
      <c r="B98" s="55">
        <v>83</v>
      </c>
      <c r="C98" s="56"/>
    </row>
    <row r="99" spans="2:3" x14ac:dyDescent="0.25">
      <c r="B99" s="55">
        <v>84</v>
      </c>
      <c r="C99" s="56"/>
    </row>
    <row r="100" spans="2:3" x14ac:dyDescent="0.25">
      <c r="B100" s="55">
        <v>85</v>
      </c>
      <c r="C100" s="56"/>
    </row>
    <row r="101" spans="2:3" x14ac:dyDescent="0.25">
      <c r="B101" s="55">
        <v>86</v>
      </c>
      <c r="C101" s="56"/>
    </row>
    <row r="102" spans="2:3" x14ac:dyDescent="0.25">
      <c r="B102" s="55">
        <v>87</v>
      </c>
      <c r="C102" s="56"/>
    </row>
    <row r="103" spans="2:3" x14ac:dyDescent="0.25">
      <c r="B103" s="55">
        <v>88</v>
      </c>
      <c r="C103" s="56"/>
    </row>
    <row r="104" spans="2:3" x14ac:dyDescent="0.25">
      <c r="B104" s="55">
        <v>89</v>
      </c>
      <c r="C104" s="56"/>
    </row>
    <row r="105" spans="2:3" x14ac:dyDescent="0.25">
      <c r="B105" s="55">
        <v>90</v>
      </c>
      <c r="C105" s="56"/>
    </row>
    <row r="106" spans="2:3" x14ac:dyDescent="0.25">
      <c r="B106" s="55">
        <v>91</v>
      </c>
      <c r="C106" s="56"/>
    </row>
    <row r="107" spans="2:3" x14ac:dyDescent="0.25">
      <c r="B107" s="55">
        <v>92</v>
      </c>
      <c r="C107" s="56"/>
    </row>
    <row r="108" spans="2:3" x14ac:dyDescent="0.25">
      <c r="B108" s="55">
        <v>93</v>
      </c>
      <c r="C108" s="56"/>
    </row>
    <row r="109" spans="2:3" x14ac:dyDescent="0.25">
      <c r="B109" s="55">
        <v>94</v>
      </c>
      <c r="C109" s="56"/>
    </row>
    <row r="110" spans="2:3" x14ac:dyDescent="0.25">
      <c r="B110" s="55">
        <v>95</v>
      </c>
      <c r="C110" s="56"/>
    </row>
    <row r="111" spans="2:3" x14ac:dyDescent="0.25">
      <c r="B111" s="55">
        <v>96</v>
      </c>
      <c r="C111" s="56"/>
    </row>
    <row r="112" spans="2:3" x14ac:dyDescent="0.25">
      <c r="B112" s="55">
        <v>97</v>
      </c>
      <c r="C112" s="56"/>
    </row>
    <row r="113" spans="2:3" x14ac:dyDescent="0.25">
      <c r="B113" s="55">
        <v>98</v>
      </c>
      <c r="C113" s="56"/>
    </row>
    <row r="114" spans="2:3" x14ac:dyDescent="0.25">
      <c r="B114" s="55">
        <v>99</v>
      </c>
      <c r="C114" s="56"/>
    </row>
    <row r="115" spans="2:3" x14ac:dyDescent="0.25">
      <c r="B115" s="55">
        <v>100</v>
      </c>
      <c r="C115" s="56"/>
    </row>
  </sheetData>
  <conditionalFormatting sqref="E16">
    <cfRule type="containsText" dxfId="0" priority="1" operator="containsText" text="WARNING">
      <formula>NOT(ISERROR(SEARCH("WARNING",E16)))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2AC44-F4A7-4F14-8EDF-0BDC16CC2F04}">
  <sheetPr>
    <tabColor rgb="FF4472C4"/>
  </sheetPr>
  <dimension ref="B2:D52"/>
  <sheetViews>
    <sheetView workbookViewId="0">
      <selection activeCell="B12" sqref="B12"/>
    </sheetView>
  </sheetViews>
  <sheetFormatPr defaultRowHeight="15" x14ac:dyDescent="0.25"/>
  <cols>
    <col min="2" max="2" width="71.7109375" bestFit="1" customWidth="1"/>
    <col min="3" max="3" width="52.7109375" bestFit="1" customWidth="1"/>
    <col min="4" max="4" width="46.85546875" bestFit="1" customWidth="1"/>
  </cols>
  <sheetData>
    <row r="2" spans="2:4" ht="26.25" x14ac:dyDescent="0.4">
      <c r="B2" s="63" t="s">
        <v>93</v>
      </c>
    </row>
    <row r="3" spans="2:4" x14ac:dyDescent="0.25">
      <c r="B3" s="38" t="s">
        <v>94</v>
      </c>
    </row>
    <row r="5" spans="2:4" ht="17.25" x14ac:dyDescent="0.3">
      <c r="B5" s="64" t="s">
        <v>95</v>
      </c>
    </row>
    <row r="6" spans="2:4" ht="15.75" x14ac:dyDescent="0.25">
      <c r="B6" s="65" t="s">
        <v>96</v>
      </c>
      <c r="C6" s="66">
        <f>COUNTA('Data Entry'!C16:C115)</f>
        <v>30</v>
      </c>
      <c r="D6" s="67" t="s">
        <v>97</v>
      </c>
    </row>
    <row r="7" spans="2:4" ht="15.75" x14ac:dyDescent="0.25">
      <c r="B7" s="10" t="s">
        <v>98</v>
      </c>
      <c r="C7" s="68">
        <f>IF(COUNTA('Data Entry'!C16:C115)=0,"No data",SUM('Data Entry'!C16:C115))</f>
        <v>151.22999999999996</v>
      </c>
      <c r="D7" s="69" t="s">
        <v>99</v>
      </c>
    </row>
    <row r="8" spans="2:4" ht="15.75" x14ac:dyDescent="0.25">
      <c r="B8" s="65" t="s">
        <v>100</v>
      </c>
      <c r="C8" s="66">
        <f>IF(COUNTA('Data Entry'!C16:C115)=0,"No data",AVERAGE('Data Entry'!C16:C115))</f>
        <v>5.0409999999999986</v>
      </c>
      <c r="D8" s="67" t="s">
        <v>101</v>
      </c>
    </row>
    <row r="9" spans="2:4" ht="15.75" x14ac:dyDescent="0.25">
      <c r="B9" s="10" t="s">
        <v>102</v>
      </c>
      <c r="C9" s="68">
        <f>IF(COUNTA('Data Entry'!C16:C115)=0,"No data",MEDIAN('Data Entry'!C16:C115))</f>
        <v>5.0549999999999997</v>
      </c>
      <c r="D9" s="69" t="s">
        <v>103</v>
      </c>
    </row>
    <row r="10" spans="2:4" ht="15.75" x14ac:dyDescent="0.25">
      <c r="B10" s="65" t="s">
        <v>104</v>
      </c>
      <c r="C10" s="66" t="str">
        <f>IF(COUNTA('Data Entry'!C16:C115)=0,"No data",IFERROR(MODE('Data Entry'!C16:C115),"No mode"))</f>
        <v>No mode</v>
      </c>
      <c r="D10" s="67" t="s">
        <v>105</v>
      </c>
    </row>
    <row r="11" spans="2:4" ht="15.75" x14ac:dyDescent="0.25">
      <c r="B11" s="10" t="s">
        <v>106</v>
      </c>
      <c r="C11" s="68">
        <f>IF(COUNTA('Data Entry'!C16:C115)=0,"No data",MIN('Data Entry'!C16:C115))</f>
        <v>4.76</v>
      </c>
      <c r="D11" s="69" t="s">
        <v>107</v>
      </c>
    </row>
    <row r="12" spans="2:4" ht="15.75" x14ac:dyDescent="0.25">
      <c r="B12" s="65" t="s">
        <v>108</v>
      </c>
      <c r="C12" s="66">
        <f>IF(COUNTA('Data Entry'!C16:C115)=0,"No data",MAX('Data Entry'!C16:C115))</f>
        <v>5.34</v>
      </c>
      <c r="D12" s="67" t="s">
        <v>109</v>
      </c>
    </row>
    <row r="13" spans="2:4" ht="15.75" x14ac:dyDescent="0.25">
      <c r="B13" s="10" t="s">
        <v>110</v>
      </c>
      <c r="C13" s="68">
        <f>IF(COUNTA('Data Entry'!C16:C115)=0,"No data",MAX('Data Entry'!C16:C115)-MIN('Data Entry'!C16:C115))</f>
        <v>0.58000000000000007</v>
      </c>
      <c r="D13" s="69" t="s">
        <v>111</v>
      </c>
    </row>
    <row r="14" spans="2:4" ht="15.75" x14ac:dyDescent="0.25">
      <c r="B14" s="65" t="s">
        <v>112</v>
      </c>
      <c r="C14" s="66">
        <f>IF(COUNTA('Data Entry'!C16:C115)&lt;2,"Need ≥2 pts",VAR('Data Entry'!C16:C115))</f>
        <v>2.1092068965517238E-2</v>
      </c>
      <c r="D14" s="67" t="s">
        <v>113</v>
      </c>
    </row>
    <row r="15" spans="2:4" ht="15.75" x14ac:dyDescent="0.25">
      <c r="B15" s="10" t="s">
        <v>83</v>
      </c>
      <c r="C15" s="68">
        <f>IF(COUNTA('Data Entry'!C16:C115)&lt;2,"Need ≥2 pts",STDEV('Data Entry'!C16:C115))</f>
        <v>0.14523108815097832</v>
      </c>
      <c r="D15" s="69" t="s">
        <v>114</v>
      </c>
    </row>
    <row r="16" spans="2:4" ht="15.75" x14ac:dyDescent="0.25">
      <c r="B16" s="65" t="s">
        <v>115</v>
      </c>
      <c r="C16" s="66">
        <f>IF(COUNTA('Data Entry'!C16:C115)=0,"No data",VARP('Data Entry'!C16:C115))</f>
        <v>2.0388999999999997E-2</v>
      </c>
      <c r="D16" s="67" t="s">
        <v>116</v>
      </c>
    </row>
    <row r="17" spans="2:4" ht="15.75" x14ac:dyDescent="0.25">
      <c r="B17" s="10" t="s">
        <v>84</v>
      </c>
      <c r="C17" s="68">
        <f>IF(COUNTA('Data Entry'!C16:C115)=0,"No data",STDEVP('Data Entry'!C16:C115))</f>
        <v>0.14279005567615694</v>
      </c>
      <c r="D17" s="69" t="s">
        <v>117</v>
      </c>
    </row>
    <row r="18" spans="2:4" ht="15.75" x14ac:dyDescent="0.25">
      <c r="B18" s="65" t="s">
        <v>118</v>
      </c>
      <c r="C18" s="173">
        <f>IF(COUNTA('Data Entry'!C16:C115)&lt;2,"Need ≥2 pts",STDEV('Data Entry'!C16:C115)/AVERAGE('Data Entry'!C16:C115))</f>
        <v>2.8809975828402768E-2</v>
      </c>
      <c r="D18" s="67" t="s">
        <v>119</v>
      </c>
    </row>
    <row r="19" spans="2:4" ht="15.75" x14ac:dyDescent="0.25">
      <c r="B19" s="10" t="s">
        <v>120</v>
      </c>
      <c r="C19" s="68">
        <f>IF(COUNTA('Data Entry'!C16:C115)&lt;2,"Need ≥2 pts",STDEV('Data Entry'!C16:C115)/SQRT(COUNTA('Data Entry'!C16:C115)))</f>
        <v>2.6515447677104023E-2</v>
      </c>
      <c r="D19" s="69" t="s">
        <v>121</v>
      </c>
    </row>
    <row r="21" spans="2:4" ht="17.25" x14ac:dyDescent="0.3">
      <c r="B21" s="70" t="s">
        <v>122</v>
      </c>
    </row>
    <row r="22" spans="2:4" x14ac:dyDescent="0.25">
      <c r="B22" s="71" t="s">
        <v>123</v>
      </c>
      <c r="C22" s="72">
        <f>IF(COUNTA('Data Entry'!C16:C115)=0,"No data",PERCENTILE('Data Entry'!C16:C115,0.25))</f>
        <v>4.9249999999999998</v>
      </c>
    </row>
    <row r="23" spans="2:4" x14ac:dyDescent="0.25">
      <c r="B23" s="73" t="s">
        <v>124</v>
      </c>
      <c r="C23" s="74">
        <f>IF(COUNTA('Data Entry'!C16:C115)=0,"No data",PERCENTILE('Data Entry'!C16:C115,0.5))</f>
        <v>5.0549999999999997</v>
      </c>
    </row>
    <row r="24" spans="2:4" x14ac:dyDescent="0.25">
      <c r="B24" s="71" t="s">
        <v>125</v>
      </c>
      <c r="C24" s="72">
        <f>IF(COUNTA('Data Entry'!C16:C115)=0,"No data",PERCENTILE('Data Entry'!C16:C115,0.75))</f>
        <v>5.1475</v>
      </c>
    </row>
    <row r="25" spans="2:4" x14ac:dyDescent="0.25">
      <c r="B25" s="73" t="s">
        <v>126</v>
      </c>
      <c r="C25" s="74">
        <f>IF(COUNTA('Data Entry'!C16:C115)&lt;4,"Need ≥4 pts",PERCENTILE('Data Entry'!C16:C115,0.75)-PERCENTILE('Data Entry'!C16:C115,0.25))</f>
        <v>0.22250000000000014</v>
      </c>
    </row>
    <row r="26" spans="2:4" x14ac:dyDescent="0.25">
      <c r="B26" s="71" t="s">
        <v>127</v>
      </c>
      <c r="C26" s="72">
        <f>IF(COUNTA('Data Entry'!C16:C115)=0,"No data",PERCENTILE('Data Entry'!C16:C115,0.1))</f>
        <v>4.8660000000000005</v>
      </c>
    </row>
    <row r="27" spans="2:4" x14ac:dyDescent="0.25">
      <c r="B27" s="73" t="s">
        <v>128</v>
      </c>
      <c r="C27" s="74">
        <f>IF(COUNTA('Data Entry'!C16:C115)=0,"No data",PERCENTILE('Data Entry'!C16:C115,0.9))</f>
        <v>5.2119999999999997</v>
      </c>
    </row>
    <row r="28" spans="2:4" x14ac:dyDescent="0.25">
      <c r="B28" s="71" t="s">
        <v>129</v>
      </c>
      <c r="C28" s="72">
        <f>IF(COUNTA('Data Entry'!C16:C115)&lt;3,"Need ≥3 pts",SKEW('Data Entry'!C16:C115))</f>
        <v>-1.6958370815487674E-2</v>
      </c>
    </row>
    <row r="29" spans="2:4" x14ac:dyDescent="0.25">
      <c r="B29" s="73" t="s">
        <v>130</v>
      </c>
      <c r="C29" s="74">
        <f>IF(COUNTA('Data Entry'!C16:C115)&lt;4,"Need ≥4 pts",KURT('Data Entry'!C16:C115))</f>
        <v>-0.66535161953847721</v>
      </c>
    </row>
    <row r="31" spans="2:4" ht="17.25" x14ac:dyDescent="0.3">
      <c r="B31" s="75" t="s">
        <v>131</v>
      </c>
    </row>
    <row r="32" spans="2:4" x14ac:dyDescent="0.25">
      <c r="B32" s="16" t="s">
        <v>132</v>
      </c>
      <c r="C32" s="76" t="str">
        <f>IF(COUNTA('Data Entry'!C16:C115)&lt;2,"Insufficient data",IF(STDEV('Data Entry'!C16:C115)/AVERAGE('Data Entry'!C16:C115)&lt;0.05,"LOW variability — process is very consistent (CV &lt; 5%)",IF(STDEV('Data Entry'!C16:C115)/AVERAGE('Data Entry'!C16:C115)&lt;0.15,"MODERATE variability — process is acceptable (CV 5–15%)","HIGH variability — process needs improvement (CV &gt; 15%)")))</f>
        <v>LOW variability — process is very consistent (CV &lt; 5%)</v>
      </c>
      <c r="D32" s="76"/>
    </row>
    <row r="34" spans="2:4" x14ac:dyDescent="0.25">
      <c r="B34" s="16" t="s">
        <v>133</v>
      </c>
      <c r="C34" s="76" t="str">
        <f>IF(COUNTA('Data Entry'!C16:C115)&lt;3,"Insufficient data",IF(ABS(SKEW('Data Entry'!C16:C115))&lt;0.5,"SYMMETRIC distribution — data is approximately normal",IF(SKEW('Data Entry'!C16:C115)&gt;0,"RIGHT-SKEWED — tail extends toward high values","LEFT-SKEWED — tail extends toward low values")))</f>
        <v>SYMMETRIC distribution — data is approximately normal</v>
      </c>
      <c r="D34" s="76"/>
    </row>
    <row r="36" spans="2:4" ht="17.25" x14ac:dyDescent="0.3">
      <c r="B36" s="45" t="s">
        <v>134</v>
      </c>
    </row>
    <row r="37" spans="2:4" x14ac:dyDescent="0.25">
      <c r="B37" s="77" t="s">
        <v>135</v>
      </c>
      <c r="C37" s="78" t="s">
        <v>136</v>
      </c>
      <c r="D37" s="79" t="s">
        <v>137</v>
      </c>
    </row>
    <row r="38" spans="2:4" x14ac:dyDescent="0.25">
      <c r="B38" s="21" t="s">
        <v>138</v>
      </c>
      <c r="C38" s="80" t="s">
        <v>139</v>
      </c>
      <c r="D38" s="81" t="s">
        <v>140</v>
      </c>
    </row>
    <row r="39" spans="2:4" x14ac:dyDescent="0.25">
      <c r="B39" s="77" t="s">
        <v>141</v>
      </c>
      <c r="C39" s="78" t="s">
        <v>142</v>
      </c>
      <c r="D39" s="79" t="s">
        <v>143</v>
      </c>
    </row>
    <row r="40" spans="2:4" x14ac:dyDescent="0.25">
      <c r="B40" s="21" t="s">
        <v>144</v>
      </c>
      <c r="C40" s="80" t="s">
        <v>145</v>
      </c>
      <c r="D40" s="81" t="s">
        <v>146</v>
      </c>
    </row>
    <row r="41" spans="2:4" x14ac:dyDescent="0.25">
      <c r="B41" s="77" t="s">
        <v>147</v>
      </c>
      <c r="C41" s="78" t="s">
        <v>148</v>
      </c>
      <c r="D41" s="79" t="s">
        <v>149</v>
      </c>
    </row>
    <row r="43" spans="2:4" ht="17.25" x14ac:dyDescent="0.3">
      <c r="B43" s="49" t="s">
        <v>279</v>
      </c>
    </row>
    <row r="44" spans="2:4" x14ac:dyDescent="0.25">
      <c r="B44" s="50" t="s">
        <v>280</v>
      </c>
      <c r="C44" s="50" t="s">
        <v>281</v>
      </c>
      <c r="D44" s="50" t="s">
        <v>282</v>
      </c>
    </row>
    <row r="45" spans="2:4" x14ac:dyDescent="0.25">
      <c r="B45" s="51" t="str">
        <f>IF(COUNTA('Data Entry'!C16:C115)=0,"No data",TEXT(MIN('Data Entry'!C16:C115),"0.00")&amp;" – "&amp;TEXT(MIN('Data Entry'!C16:C115)+(MAX('Data Entry'!C16:C115)-MIN('Data Entry'!C16:C115))/8*1,"0.00"))</f>
        <v>4.76 – 4.83</v>
      </c>
      <c r="C45" s="171">
        <f>IF(COUNTA('Data Entry'!C16:C115)=0,"",MIN('Data Entry'!C16:C115)+(MAX('Data Entry'!C16:C115)-MIN('Data Entry'!C16:C115))/8*(1))</f>
        <v>4.8324999999999996</v>
      </c>
      <c r="D45" s="65">
        <f>COUNTIFS('Data Entry'!C16:C115,"&gt;="&amp;MIN('Data Entry'!C16:C115),'Data Entry'!C16:C115,"&lt;="&amp;C45)</f>
        <v>3</v>
      </c>
    </row>
    <row r="46" spans="2:4" x14ac:dyDescent="0.25">
      <c r="B46" s="9" t="str">
        <f>IF(COUNTA('Data Entry'!C16:C115)=0,"No data",TEXT(C45,"0.00")&amp;" – "&amp;TEXT(C46,"0.00"))</f>
        <v>4.83 – 4.91</v>
      </c>
      <c r="C46" s="172">
        <f>IF(COUNTA('Data Entry'!C16:C115)=0,"",MIN('Data Entry'!C16:C115)+(MAX('Data Entry'!C16:C115)-MIN('Data Entry'!C16:C115))/8*(2))</f>
        <v>4.9049999999999994</v>
      </c>
      <c r="D46" s="10">
        <f>COUNTIFS('Data Entry'!C16:C115,"&gt;"&amp;C45,'Data Entry'!C16:C115,"&lt;="&amp;C46)</f>
        <v>3</v>
      </c>
    </row>
    <row r="47" spans="2:4" x14ac:dyDescent="0.25">
      <c r="B47" s="51" t="str">
        <f>IF(COUNTA('Data Entry'!C16:C115)=0,"No data",TEXT(C46,"0.00")&amp;" – "&amp;TEXT(C47,"0.00"))</f>
        <v>4.91 – 4.98</v>
      </c>
      <c r="C47" s="171">
        <f>IF(COUNTA('Data Entry'!C16:C115)=0,"",MIN('Data Entry'!C16:C115)+(MAX('Data Entry'!C16:C115)-MIN('Data Entry'!C16:C115))/8*(3))</f>
        <v>4.9775</v>
      </c>
      <c r="D47" s="65">
        <f>COUNTIFS('Data Entry'!C16:C115,"&gt;"&amp;C46,'Data Entry'!C16:C115,"&lt;="&amp;C47)</f>
        <v>4</v>
      </c>
    </row>
    <row r="48" spans="2:4" x14ac:dyDescent="0.25">
      <c r="B48" s="9" t="str">
        <f>IF(COUNTA('Data Entry'!C16:C115)=0,"No data",TEXT(C47,"0.00")&amp;" – "&amp;TEXT(C48,"0.00"))</f>
        <v>4.98 – 5.05</v>
      </c>
      <c r="C48" s="172">
        <f>IF(COUNTA('Data Entry'!C16:C115)=0,"",MIN('Data Entry'!C16:C115)+(MAX('Data Entry'!C16:C115)-MIN('Data Entry'!C16:C115))/8*(4))</f>
        <v>5.05</v>
      </c>
      <c r="D48" s="10">
        <f>COUNTIFS('Data Entry'!C16:C115,"&gt;"&amp;C47,'Data Entry'!C16:C115,"&lt;="&amp;C48)</f>
        <v>5</v>
      </c>
    </row>
    <row r="49" spans="2:4" x14ac:dyDescent="0.25">
      <c r="B49" s="51" t="str">
        <f>IF(COUNTA('Data Entry'!C16:C115)=0,"No data",TEXT(C48,"0.00")&amp;" – "&amp;TEXT(C49,"0.00"))</f>
        <v>5.05 – 5.12</v>
      </c>
      <c r="C49" s="171">
        <f>IF(COUNTA('Data Entry'!C16:C115)=0,"",MIN('Data Entry'!C16:C115)+(MAX('Data Entry'!C16:C115)-MIN('Data Entry'!C16:C115))/8*(5))</f>
        <v>5.1224999999999996</v>
      </c>
      <c r="D49" s="65">
        <f>COUNTIFS('Data Entry'!C16:C115,"&gt;"&amp;C48,'Data Entry'!C16:C115,"&lt;="&amp;C49)</f>
        <v>6</v>
      </c>
    </row>
    <row r="50" spans="2:4" x14ac:dyDescent="0.25">
      <c r="B50" s="9" t="str">
        <f>IF(COUNTA('Data Entry'!C16:C115)=0,"No data",TEXT(C49,"0.00")&amp;" – "&amp;TEXT(C50,"0.00"))</f>
        <v>5.12 – 5.20</v>
      </c>
      <c r="C50" s="172">
        <f>IF(COUNTA('Data Entry'!C16:C115)=0,"",MIN('Data Entry'!C16:C115)+(MAX('Data Entry'!C16:C115)-MIN('Data Entry'!C16:C115))/8*(6))</f>
        <v>5.1950000000000003</v>
      </c>
      <c r="D50" s="10">
        <f>COUNTIFS('Data Entry'!C16:C115,"&gt;"&amp;C49,'Data Entry'!C16:C115,"&lt;="&amp;C50)</f>
        <v>5</v>
      </c>
    </row>
    <row r="51" spans="2:4" x14ac:dyDescent="0.25">
      <c r="B51" s="51" t="str">
        <f>IF(COUNTA('Data Entry'!C16:C115)=0,"No data",TEXT(C50,"0.00")&amp;" – "&amp;TEXT(C51,"0.00"))</f>
        <v>5.20 – 5.27</v>
      </c>
      <c r="C51" s="171">
        <f>IF(COUNTA('Data Entry'!C16:C115)=0,"",MIN('Data Entry'!C16:C115)+(MAX('Data Entry'!C16:C115)-MIN('Data Entry'!C16:C115))/8*(7))</f>
        <v>5.2675000000000001</v>
      </c>
      <c r="D51" s="65">
        <f>COUNTIFS('Data Entry'!C16:C115,"&gt;"&amp;C50,'Data Entry'!C16:C115,"&lt;="&amp;C51)</f>
        <v>2</v>
      </c>
    </row>
    <row r="52" spans="2:4" x14ac:dyDescent="0.25">
      <c r="B52" s="9" t="str">
        <f>IF(COUNTA('Data Entry'!C16:C115)=0,"No data",TEXT(C51,"0.00")&amp;" – "&amp;TEXT(C52,"0.00"))</f>
        <v>5.27 – 5.34</v>
      </c>
      <c r="C52" s="172">
        <f>IF(COUNTA('Data Entry'!C16:C115)=0,"",MIN('Data Entry'!C16:C115)+(MAX('Data Entry'!C16:C115)-MIN('Data Entry'!C16:C115))/8*(8))</f>
        <v>5.34</v>
      </c>
      <c r="D52" s="10">
        <f>COUNTIFS('Data Entry'!C16:C115,"&gt;"&amp;C51,'Data Entry'!C16:C115,"&lt;="&amp;C52)</f>
        <v>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9B211-174F-4438-AB11-58AC4C1858A2}">
  <sheetPr>
    <tabColor rgb="FF375623"/>
  </sheetPr>
  <dimension ref="B2:D35"/>
  <sheetViews>
    <sheetView workbookViewId="0"/>
  </sheetViews>
  <sheetFormatPr defaultRowHeight="15" x14ac:dyDescent="0.25"/>
  <cols>
    <col min="2" max="2" width="69.140625" bestFit="1" customWidth="1"/>
    <col min="3" max="3" width="15.5703125" bestFit="1" customWidth="1"/>
    <col min="4" max="4" width="49.28515625" bestFit="1" customWidth="1"/>
  </cols>
  <sheetData>
    <row r="2" spans="2:4" ht="26.25" x14ac:dyDescent="0.4">
      <c r="B2" s="82" t="s">
        <v>150</v>
      </c>
    </row>
    <row r="3" spans="2:4" x14ac:dyDescent="0.25">
      <c r="B3" s="83" t="s">
        <v>151</v>
      </c>
    </row>
    <row r="5" spans="2:4" ht="15.75" x14ac:dyDescent="0.25">
      <c r="B5" s="84" t="s">
        <v>152</v>
      </c>
    </row>
    <row r="6" spans="2:4" x14ac:dyDescent="0.25">
      <c r="B6" s="28" t="s">
        <v>153</v>
      </c>
      <c r="C6" s="85">
        <f>'Data Entry'!C6</f>
        <v>10</v>
      </c>
    </row>
    <row r="7" spans="2:4" x14ac:dyDescent="0.25">
      <c r="B7" s="86" t="s">
        <v>154</v>
      </c>
      <c r="C7" s="87">
        <f>'Data Entry'!C7</f>
        <v>0</v>
      </c>
    </row>
    <row r="8" spans="2:4" x14ac:dyDescent="0.25">
      <c r="B8" s="28" t="s">
        <v>100</v>
      </c>
      <c r="C8" s="85">
        <f>IF(COUNTA('Data Entry'!C16:C115)=0,"No data",AVERAGE('Data Entry'!C16:C115))</f>
        <v>5.0409999999999986</v>
      </c>
    </row>
    <row r="9" spans="2:4" x14ac:dyDescent="0.25">
      <c r="B9" s="86" t="s">
        <v>83</v>
      </c>
      <c r="C9" s="87">
        <f>IF(COUNTA('Data Entry'!C16:C115)&lt;2,"Need ≥2 pts",STDEV('Data Entry'!C16:C115))</f>
        <v>0.14523108815097832</v>
      </c>
    </row>
    <row r="10" spans="2:4" x14ac:dyDescent="0.25">
      <c r="B10" s="28" t="s">
        <v>96</v>
      </c>
      <c r="C10" s="85">
        <f>COUNTA('Data Entry'!C16:C115)</f>
        <v>30</v>
      </c>
    </row>
    <row r="11" spans="2:4" x14ac:dyDescent="0.25">
      <c r="B11" s="86" t="s">
        <v>155</v>
      </c>
      <c r="C11" s="87">
        <f>'Data Entry'!C6-'Data Entry'!C7</f>
        <v>10</v>
      </c>
    </row>
    <row r="12" spans="2:4" x14ac:dyDescent="0.25">
      <c r="B12" s="28" t="s">
        <v>156</v>
      </c>
      <c r="C12" s="85">
        <f>('Data Entry'!C6+'Data Entry'!C7)/2</f>
        <v>5</v>
      </c>
    </row>
    <row r="14" spans="2:4" ht="17.25" x14ac:dyDescent="0.3">
      <c r="B14" s="39" t="s">
        <v>157</v>
      </c>
    </row>
    <row r="15" spans="2:4" x14ac:dyDescent="0.25">
      <c r="B15" s="28" t="s">
        <v>158</v>
      </c>
      <c r="C15" s="85">
        <f>IF(OR(COUNTA('Data Entry'!C16:C115)&lt;2,'Data Entry'!C6='Data Entry'!C7),"N/A",('Data Entry'!C6-'Data Entry'!C7)/(6*STDEV('Data Entry'!C16:C115)))</f>
        <v>11.4759634998675</v>
      </c>
      <c r="D15" s="88" t="s">
        <v>159</v>
      </c>
    </row>
    <row r="16" spans="2:4" x14ac:dyDescent="0.25">
      <c r="B16" s="86" t="s">
        <v>160</v>
      </c>
      <c r="C16" s="87">
        <f>IF(COUNTA('Data Entry'!C16:C115)&lt;2,"N/A",('Data Entry'!C6-AVERAGE('Data Entry'!C16:C115))/(3*STDEV('Data Entry'!C16:C115)))</f>
        <v>11.38186059916859</v>
      </c>
      <c r="D16" s="89" t="s">
        <v>161</v>
      </c>
    </row>
    <row r="17" spans="2:4" x14ac:dyDescent="0.25">
      <c r="B17" s="28" t="s">
        <v>162</v>
      </c>
      <c r="C17" s="85">
        <f>IF(COUNTA('Data Entry'!C16:C115)&lt;2,"N/A",(AVERAGE('Data Entry'!C16:C115)-'Data Entry'!C7)/(3*STDEV('Data Entry'!C16:C115)))</f>
        <v>11.570066400566411</v>
      </c>
      <c r="D17" s="88" t="s">
        <v>163</v>
      </c>
    </row>
    <row r="18" spans="2:4" ht="17.25" x14ac:dyDescent="0.3">
      <c r="B18" s="90" t="s">
        <v>164</v>
      </c>
      <c r="C18" s="91">
        <f>IF(COUNTA('Data Entry'!C16:C115)&lt;2,"N/A",MIN(('Data Entry'!C6-AVERAGE('Data Entry'!C16:C115))/(3*STDEV('Data Entry'!C16:C115)),(AVERAGE('Data Entry'!C16:C115)-'Data Entry'!C7)/(3*STDEV('Data Entry'!C16:C115))))</f>
        <v>11.38186059916859</v>
      </c>
      <c r="D18" s="92" t="s">
        <v>165</v>
      </c>
    </row>
    <row r="19" spans="2:4" x14ac:dyDescent="0.25">
      <c r="B19" s="28" t="s">
        <v>166</v>
      </c>
      <c r="C19" s="85">
        <f>IF(COUNTA('Data Entry'!C16:C115)&lt;2,"N/A",('Data Entry'!C6-'Data Entry'!C7)/(6*SQRT(VARP('Data Entry'!C16:C115)+(AVERAGE('Data Entry'!C16:C115)-('Data Entry'!C6+'Data Entry'!C7)/2)^2)))</f>
        <v>11.218830409940454</v>
      </c>
      <c r="D19" s="88" t="s">
        <v>167</v>
      </c>
    </row>
    <row r="21" spans="2:4" ht="17.25" x14ac:dyDescent="0.3">
      <c r="B21" s="70" t="s">
        <v>168</v>
      </c>
    </row>
    <row r="22" spans="2:4" x14ac:dyDescent="0.25">
      <c r="B22" s="51" t="s">
        <v>169</v>
      </c>
      <c r="C22" s="59">
        <f>IF(OR(COUNTA('Data Entry'!C16:C115)&lt;2,'Data Entry'!C6='Data Entry'!C7),"N/A",('Data Entry'!C6-'Data Entry'!C7)/(6*STDEVP('Data Entry'!C16:C115)))</f>
        <v>11.672148027217041</v>
      </c>
      <c r="D22" s="93" t="s">
        <v>170</v>
      </c>
    </row>
    <row r="23" spans="2:4" ht="17.25" x14ac:dyDescent="0.3">
      <c r="B23" s="94" t="s">
        <v>171</v>
      </c>
      <c r="C23" s="95">
        <f>IF(COUNTA('Data Entry'!C16:C115)&lt;2,"N/A",MIN(('Data Entry'!C6-AVERAGE('Data Entry'!C16:C115))/(3*STDEVP('Data Entry'!C16:C115)),(AVERAGE('Data Entry'!C16:C115)-'Data Entry'!C7)/(3*STDEVP('Data Entry'!C16:C115))))</f>
        <v>11.576436413393864</v>
      </c>
      <c r="D23" s="96" t="s">
        <v>172</v>
      </c>
    </row>
    <row r="24" spans="2:4" x14ac:dyDescent="0.25">
      <c r="B24" s="51" t="s">
        <v>173</v>
      </c>
      <c r="C24" s="59">
        <f>IF(OR(COUNTA('Data Entry'!C16:C115)&lt;2,'Data Entry'!C6='Data Entry'!C7),"N/A",('Data Entry'!C6-'Data Entry'!C7)/(6*STDEV('Data Entry'!C16:C115))-MIN(('Data Entry'!C6-AVERAGE('Data Entry'!C16:C115))/(3*STDEV('Data Entry'!C16:C115)),(AVERAGE('Data Entry'!C16:C115)-'Data Entry'!C7)/(3*STDEV('Data Entry'!C16:C115))))</f>
        <v>9.4102900698910474E-2</v>
      </c>
      <c r="D24" s="93" t="s">
        <v>174</v>
      </c>
    </row>
    <row r="25" spans="2:4" x14ac:dyDescent="0.25">
      <c r="B25" s="9" t="s">
        <v>175</v>
      </c>
      <c r="C25" s="97">
        <f>IF(COUNTA('Data Entry'!C16:C115)&lt;2,"N/A",_xlfn.NORM.DIST('Data Entry'!C6,AVERAGE('Data Entry'!C16:C115),STDEV('Data Entry'!C16:C115),TRUE)-_xlfn.NORM.DIST('Data Entry'!C7,AVERAGE('Data Entry'!C16:C115),STDEV('Data Entry'!C16:C115),TRUE))</f>
        <v>1</v>
      </c>
      <c r="D25" s="98" t="s">
        <v>176</v>
      </c>
    </row>
    <row r="26" spans="2:4" x14ac:dyDescent="0.25">
      <c r="B26" s="51" t="s">
        <v>177</v>
      </c>
      <c r="C26" s="99">
        <f>IF(COUNTA('Data Entry'!C16:C115)&lt;2,"N/A",(1-(_xlfn.NORM.DIST('Data Entry'!C6,AVERAGE('Data Entry'!C16:C115),STDEV('Data Entry'!C16:C115),TRUE)-_xlfn.NORM.DIST('Data Entry'!C7,AVERAGE('Data Entry'!C16:C115),STDEV('Data Entry'!C16:C115),TRUE)))*1000000)</f>
        <v>0</v>
      </c>
      <c r="D26" s="93" t="s">
        <v>178</v>
      </c>
    </row>
    <row r="28" spans="2:4" ht="17.25" x14ac:dyDescent="0.3">
      <c r="B28" s="75" t="s">
        <v>179</v>
      </c>
    </row>
    <row r="29" spans="2:4" ht="34.5" x14ac:dyDescent="0.3">
      <c r="B29" s="100" t="str">
        <f>IF(COUNTA('Data Entry'!C16:C115)&lt;2,"Insufficient data",IF(MIN(('Data Entry'!C6-AVERAGE('Data Entry'!C16:C115))/(3*STDEV('Data Entry'!C16:C115)),(AVERAGE('Data Entry'!C16:C115)-'Data Entry'!C7)/(3*STDEV('Data Entry'!C16:C115)))&lt;0.67,"⛔  INCAPABLE  (Cpk &lt; 0.67) — Process produces significant defects. Immediate action required.",IF(MIN(('Data Entry'!C6-AVERAGE('Data Entry'!C16:C115))/(3*STDEV('Data Entry'!C16:C115)),(AVERAGE('Data Entry'!C16:C115)-'Data Entry'!C7)/(3*STDEV('Data Entry'!C16:C115)))&lt;1,"⚠️  MARGINAL  (0.67 ≤ Cpk &lt; 1.00) — Process is barely capable. Improvement needed.",IF(MIN(('Data Entry'!C6-AVERAGE('Data Entry'!C16:C115))/(3*STDEV('Data Entry'!C16:C115)),(AVERAGE('Data Entry'!C16:C115)-'Data Entry'!C7)/(3*STDEV('Data Entry'!C16:C115)))&lt;1.33,"✅  CAPABLE  (1.00 ≤ Cpk &lt; 1.33) — Meets minimum standards. Monitor for drift.","🏆  EXCELLENT  (Cpk ≥ 1.33) — World-class capability. Continue monitoring."))))</f>
        <v>🏆  EXCELLENT  (Cpk ≥ 1.33) — World-class capability. Continue monitoring.</v>
      </c>
      <c r="C29" s="100"/>
      <c r="D29" s="100"/>
    </row>
    <row r="31" spans="2:4" x14ac:dyDescent="0.25">
      <c r="B31" s="101" t="s">
        <v>180</v>
      </c>
      <c r="C31" s="101" t="s">
        <v>181</v>
      </c>
      <c r="D31" s="102" t="s">
        <v>182</v>
      </c>
    </row>
    <row r="32" spans="2:4" x14ac:dyDescent="0.25">
      <c r="B32" s="103" t="s">
        <v>183</v>
      </c>
      <c r="C32" s="103" t="s">
        <v>184</v>
      </c>
      <c r="D32" s="104" t="s">
        <v>185</v>
      </c>
    </row>
    <row r="33" spans="2:4" x14ac:dyDescent="0.25">
      <c r="B33" s="105" t="s">
        <v>186</v>
      </c>
      <c r="C33" s="105" t="s">
        <v>187</v>
      </c>
      <c r="D33" s="106" t="s">
        <v>188</v>
      </c>
    </row>
    <row r="34" spans="2:4" x14ac:dyDescent="0.25">
      <c r="B34" s="107" t="s">
        <v>189</v>
      </c>
      <c r="C34" s="107" t="s">
        <v>190</v>
      </c>
      <c r="D34" s="108" t="s">
        <v>191</v>
      </c>
    </row>
    <row r="35" spans="2:4" x14ac:dyDescent="0.25">
      <c r="B35" s="109" t="s">
        <v>192</v>
      </c>
      <c r="C35" s="109" t="s">
        <v>193</v>
      </c>
      <c r="D35" s="110" t="s">
        <v>194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D4DB6-EF3F-42FC-BAC2-0541B76A6812}">
  <sheetPr>
    <tabColor rgb="FFC00000"/>
  </sheetPr>
  <dimension ref="B2:E33"/>
  <sheetViews>
    <sheetView workbookViewId="0"/>
  </sheetViews>
  <sheetFormatPr defaultRowHeight="15" x14ac:dyDescent="0.25"/>
  <cols>
    <col min="2" max="2" width="80.85546875" bestFit="1" customWidth="1"/>
    <col min="3" max="3" width="11.28515625" bestFit="1" customWidth="1"/>
    <col min="4" max="4" width="58.28515625" bestFit="1" customWidth="1"/>
    <col min="5" max="5" width="30.7109375" bestFit="1" customWidth="1"/>
  </cols>
  <sheetData>
    <row r="2" spans="2:4" ht="26.25" x14ac:dyDescent="0.4">
      <c r="B2" s="111" t="s">
        <v>195</v>
      </c>
    </row>
    <row r="3" spans="2:4" x14ac:dyDescent="0.25">
      <c r="B3" s="112" t="s">
        <v>196</v>
      </c>
    </row>
    <row r="5" spans="2:4" ht="15.75" x14ac:dyDescent="0.25">
      <c r="B5" s="113" t="s">
        <v>152</v>
      </c>
    </row>
    <row r="6" spans="2:4" x14ac:dyDescent="0.25">
      <c r="B6" s="46" t="s">
        <v>197</v>
      </c>
      <c r="C6" s="114">
        <f>'Data Entry'!C10</f>
        <v>500</v>
      </c>
    </row>
    <row r="7" spans="2:4" x14ac:dyDescent="0.25">
      <c r="B7" s="115" t="s">
        <v>198</v>
      </c>
      <c r="C7" s="116">
        <f>'Data Entry'!C11</f>
        <v>15</v>
      </c>
    </row>
    <row r="8" spans="2:4" x14ac:dyDescent="0.25">
      <c r="B8" s="46" t="s">
        <v>199</v>
      </c>
      <c r="C8" s="114">
        <f>'Data Entry'!C12</f>
        <v>8</v>
      </c>
    </row>
    <row r="9" spans="2:4" x14ac:dyDescent="0.25">
      <c r="B9" s="115" t="s">
        <v>200</v>
      </c>
      <c r="C9" s="116">
        <f>'Data Entry'!C10*'Data Entry'!C12</f>
        <v>4000</v>
      </c>
    </row>
    <row r="11" spans="2:4" ht="17.25" x14ac:dyDescent="0.3">
      <c r="B11" s="117" t="s">
        <v>201</v>
      </c>
    </row>
    <row r="12" spans="2:4" x14ac:dyDescent="0.25">
      <c r="B12" s="46" t="s">
        <v>202</v>
      </c>
      <c r="C12" s="118">
        <f>IF('Data Entry'!C10=0,"Enter units",IFERROR('Data Entry'!C11/'Data Entry'!C10,"N/A"))</f>
        <v>0.03</v>
      </c>
      <c r="D12" s="79" t="s">
        <v>203</v>
      </c>
    </row>
    <row r="13" spans="2:4" x14ac:dyDescent="0.25">
      <c r="B13" s="115" t="s">
        <v>204</v>
      </c>
      <c r="C13" s="119">
        <f>IF(OR('Data Entry'!C10=0,'Data Entry'!C12=0),"Enter units/opps",IFERROR('Data Entry'!C11/('Data Entry'!C10*'Data Entry'!C12),"N/A"))</f>
        <v>3.7499999999999999E-3</v>
      </c>
      <c r="D13" s="120" t="s">
        <v>205</v>
      </c>
    </row>
    <row r="14" spans="2:4" ht="18.75" x14ac:dyDescent="0.3">
      <c r="B14" s="121" t="s">
        <v>206</v>
      </c>
      <c r="C14" s="122">
        <f>IF(OR('Data Entry'!C10=0,'Data Entry'!C12=0),"Enter units/opps",IFERROR(('Data Entry'!C11/('Data Entry'!C10*'Data Entry'!C12))*1000000,"N/A"))</f>
        <v>3750</v>
      </c>
      <c r="D14" s="102" t="s">
        <v>207</v>
      </c>
    </row>
    <row r="15" spans="2:4" x14ac:dyDescent="0.25">
      <c r="B15" s="115" t="s">
        <v>208</v>
      </c>
      <c r="C15" s="123">
        <f>IF('Data Entry'!C10=0,"Enter units",IFERROR(('Data Entry'!C11/'Data Entry'!C10)*1000000,"N/A"))</f>
        <v>30000</v>
      </c>
      <c r="D15" s="120" t="s">
        <v>209</v>
      </c>
    </row>
    <row r="17" spans="2:5" ht="17.25" x14ac:dyDescent="0.3">
      <c r="B17" s="39" t="s">
        <v>210</v>
      </c>
    </row>
    <row r="18" spans="2:5" x14ac:dyDescent="0.25">
      <c r="B18" s="28" t="s">
        <v>211</v>
      </c>
      <c r="C18" s="124">
        <f>IF('Data Entry'!C10=0,"Enter units",IFERROR(1-('Data Entry'!C11/'Data Entry'!C10),"N/A"))</f>
        <v>0.97</v>
      </c>
      <c r="D18" s="88" t="s">
        <v>212</v>
      </c>
    </row>
    <row r="19" spans="2:5" x14ac:dyDescent="0.25">
      <c r="B19" s="86" t="s">
        <v>213</v>
      </c>
      <c r="C19" s="125">
        <f>IF('Data Entry'!C10=0,"Enter units",IFERROR(EXP(-('Data Entry'!C11/'Data Entry'!C10)),"N/A"))</f>
        <v>0.97044553354850815</v>
      </c>
      <c r="D19" s="89" t="s">
        <v>214</v>
      </c>
    </row>
    <row r="20" spans="2:5" x14ac:dyDescent="0.25">
      <c r="B20" s="28" t="s">
        <v>215</v>
      </c>
      <c r="C20" s="124">
        <f>IF('Data Entry'!C10=0,"Enter units",IFERROR(EXP(-('Data Entry'!C11/'Data Entry'!C10)),"N/A"))</f>
        <v>0.97044553354850815</v>
      </c>
      <c r="D20" s="88" t="s">
        <v>216</v>
      </c>
    </row>
    <row r="21" spans="2:5" x14ac:dyDescent="0.25">
      <c r="B21" s="86" t="s">
        <v>217</v>
      </c>
      <c r="C21" s="125">
        <f>IF('Data Entry'!C10=0,"Enter units",IFERROR('Data Entry'!C11/'Data Entry'!C10,"N/A"))</f>
        <v>0.03</v>
      </c>
      <c r="D21" s="89" t="s">
        <v>218</v>
      </c>
    </row>
    <row r="23" spans="2:5" ht="17.25" x14ac:dyDescent="0.3">
      <c r="B23" s="75" t="s">
        <v>219</v>
      </c>
    </row>
    <row r="24" spans="2:5" ht="15.75" x14ac:dyDescent="0.25">
      <c r="B24" s="126" t="str">
        <f>IF(OR('Data Entry'!C10=0,'Data Entry'!C12=0),"Enter data in Data Entry tab",IF(('Data Entry'!C11/('Data Entry'!C10*'Data Entry'!C12))*1000000&lt;=3.4,"🏆  SIX SIGMA  (DPMO ≤ 3.4) — World-class! Near-perfect quality.",IF(('Data Entry'!C11/('Data Entry'!C10*'Data Entry'!C12))*1000000&lt;=233,"⭐  FIVE SIGMA  (DPMO ≤ 233) — Excellent quality. Benchmark-level performance.",IF(('Data Entry'!C11/('Data Entry'!C10*'Data Entry'!C12))*1000000&lt;=6210,"✅  FOUR SIGMA  (DPMO ≤ 6,210) — Good. Industry standard for most sectors.",IF(('Data Entry'!C11/('Data Entry'!C10*'Data Entry'!C12))*1000000&lt;=66807,"⚠️  THREE SIGMA  (DPMO ≤ 66,807) — Marginal. Significant improvement opportunities exist.",IF(('Data Entry'!C11/('Data Entry'!C10*'Data Entry'!C12))*1000000&lt;=308537,"⛔  TWO SIGMA  (DPMO ≤ 308,537) — Poor quality. Process needs major rework.","🚨  BELOW TWO SIGMA  (DPMO &gt; 308,537) — Critical failure rate. Redesign required."))))))</f>
        <v>✅  FOUR SIGMA  (DPMO ≤ 6,210) — Good. Industry standard for most sectors.</v>
      </c>
      <c r="C24" s="126"/>
      <c r="D24" s="126"/>
    </row>
    <row r="26" spans="2:5" ht="17.25" x14ac:dyDescent="0.3">
      <c r="B26" s="117" t="s">
        <v>220</v>
      </c>
    </row>
    <row r="27" spans="2:5" x14ac:dyDescent="0.25">
      <c r="B27" s="18" t="s">
        <v>49</v>
      </c>
      <c r="C27" s="18" t="s">
        <v>50</v>
      </c>
      <c r="D27" s="18" t="s">
        <v>52</v>
      </c>
      <c r="E27" s="18" t="s">
        <v>221</v>
      </c>
    </row>
    <row r="28" spans="2:5" x14ac:dyDescent="0.25">
      <c r="B28" s="21" t="s">
        <v>53</v>
      </c>
      <c r="C28" s="127">
        <v>691462</v>
      </c>
      <c r="D28" s="20">
        <v>0.3085</v>
      </c>
      <c r="E28" s="19" t="str">
        <f>'Data Entry'!C11/('Data Entry'!C10*'Data Entry'!C12)*1000000&amp;" vs "&amp;691462&amp;" — "&amp;IF(IFERROR('Data Entry'!C11/('Data Entry'!C10*'Data Entry'!C12)*1000000,9999999)&lt;=691462,"✅ Beats target","❌ Misses target")</f>
        <v>3750 vs 691462 — ✅ Beats target</v>
      </c>
    </row>
    <row r="29" spans="2:5" x14ac:dyDescent="0.25">
      <c r="B29" s="24" t="s">
        <v>54</v>
      </c>
      <c r="C29" s="128">
        <v>308538</v>
      </c>
      <c r="D29" s="23">
        <v>0.6915</v>
      </c>
      <c r="E29" s="22" t="str">
        <f>IF(IFERROR('Data Entry'!C11/('Data Entry'!C10*'Data Entry'!C12)*1000000,9999999)&lt;=308538,"✅ Beats 2σ","❌ Misses 2σ")</f>
        <v>✅ Beats 2σ</v>
      </c>
    </row>
    <row r="30" spans="2:5" x14ac:dyDescent="0.25">
      <c r="B30" s="27" t="s">
        <v>55</v>
      </c>
      <c r="C30" s="129">
        <v>66807</v>
      </c>
      <c r="D30" s="26">
        <v>0.93320000000000003</v>
      </c>
      <c r="E30" s="25" t="str">
        <f>IF(IFERROR('Data Entry'!C11/('Data Entry'!C10*'Data Entry'!C12)*1000000,9999999)&lt;=66807,"✅ Beats 3σ","❌ Misses 3σ")</f>
        <v>✅ Beats 3σ</v>
      </c>
    </row>
    <row r="31" spans="2:5" x14ac:dyDescent="0.25">
      <c r="B31" s="30" t="s">
        <v>56</v>
      </c>
      <c r="C31" s="130">
        <v>6210</v>
      </c>
      <c r="D31" s="29">
        <v>0.99380000000000002</v>
      </c>
      <c r="E31" s="28" t="str">
        <f>IF(IFERROR('Data Entry'!C11/('Data Entry'!C10*'Data Entry'!C12)*1000000,9999999)&lt;=6210,"✅ Beats 4σ","❌ Misses 4σ")</f>
        <v>✅ Beats 4σ</v>
      </c>
    </row>
    <row r="32" spans="2:5" x14ac:dyDescent="0.25">
      <c r="B32" s="33" t="s">
        <v>57</v>
      </c>
      <c r="C32" s="131">
        <v>233</v>
      </c>
      <c r="D32" s="32">
        <v>0.99980000000000002</v>
      </c>
      <c r="E32" s="31" t="str">
        <f>IF(IFERROR('Data Entry'!C11/('Data Entry'!C10*'Data Entry'!C12)*1000000,9999999)&lt;=233,"✅ Beats 5σ","❌ Misses 5σ")</f>
        <v>❌ Misses 5σ</v>
      </c>
    </row>
    <row r="33" spans="2:5" x14ac:dyDescent="0.25">
      <c r="B33" s="35" t="s">
        <v>58</v>
      </c>
      <c r="C33" s="132">
        <v>3.4</v>
      </c>
      <c r="D33" s="175">
        <v>0.99999700000000002</v>
      </c>
      <c r="E33" s="34" t="str">
        <f>IF(IFERROR('Data Entry'!C11/('Data Entry'!C10*'Data Entry'!C12)*1000000,9999999)&lt;=3.4,"🏆 Six Sigma!","❌ Misses 6σ")</f>
        <v>❌ Misses 6σ</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11D99-4CF0-41F8-AB28-1307D1A9A313}">
  <sheetPr>
    <tabColor rgb="FF7030A0"/>
  </sheetPr>
  <dimension ref="B2:F41"/>
  <sheetViews>
    <sheetView workbookViewId="0">
      <selection activeCell="D11" sqref="D11"/>
    </sheetView>
  </sheetViews>
  <sheetFormatPr defaultRowHeight="15" x14ac:dyDescent="0.25"/>
  <cols>
    <col min="2" max="2" width="45.7109375" style="6" customWidth="1"/>
    <col min="3" max="3" width="11.28515625" bestFit="1" customWidth="1"/>
    <col min="4" max="4" width="34.85546875" style="6" customWidth="1"/>
    <col min="5" max="5" width="11.7109375" bestFit="1" customWidth="1"/>
    <col min="6" max="6" width="51.85546875" bestFit="1" customWidth="1"/>
  </cols>
  <sheetData>
    <row r="2" spans="2:4" ht="26.25" x14ac:dyDescent="0.4">
      <c r="B2" s="179" t="s">
        <v>222</v>
      </c>
    </row>
    <row r="3" spans="2:4" ht="30" x14ac:dyDescent="0.25">
      <c r="B3" s="180" t="s">
        <v>223</v>
      </c>
    </row>
    <row r="5" spans="2:4" ht="15.75" x14ac:dyDescent="0.25">
      <c r="B5" s="181" t="s">
        <v>152</v>
      </c>
    </row>
    <row r="6" spans="2:4" x14ac:dyDescent="0.25">
      <c r="B6" s="182" t="s">
        <v>224</v>
      </c>
      <c r="C6" s="133">
        <f>'Data Entry'!C10</f>
        <v>500</v>
      </c>
    </row>
    <row r="7" spans="2:4" x14ac:dyDescent="0.25">
      <c r="B7" s="183" t="s">
        <v>225</v>
      </c>
      <c r="C7" s="134">
        <f>'Data Entry'!C11</f>
        <v>15</v>
      </c>
    </row>
    <row r="8" spans="2:4" x14ac:dyDescent="0.25">
      <c r="B8" s="182" t="s">
        <v>199</v>
      </c>
      <c r="C8" s="133">
        <f>'Data Entry'!C12</f>
        <v>8</v>
      </c>
    </row>
    <row r="9" spans="2:4" ht="17.25" x14ac:dyDescent="0.3">
      <c r="B9" s="184" t="s">
        <v>226</v>
      </c>
      <c r="C9" s="135">
        <f>IFERROR(('Data Entry'!C11/('Data Entry'!C10*'Data Entry'!C12))*1000000,"Check Data Entry")</f>
        <v>3750</v>
      </c>
    </row>
    <row r="11" spans="2:4" ht="17.25" x14ac:dyDescent="0.3">
      <c r="B11" s="185" t="s">
        <v>227</v>
      </c>
    </row>
    <row r="12" spans="2:4" ht="27.75" x14ac:dyDescent="0.3">
      <c r="B12" s="186" t="s">
        <v>228</v>
      </c>
      <c r="C12" s="136">
        <f>IF(OR('Data Entry'!C10=0,'Data Entry'!C12=0),"Enter data",IFERROR(_xlfn.NORM.S.INV(1-(IFERROR(('Data Entry'!C11/('Data Entry'!C10*'Data Entry'!C12))*1000000,9999999)/1000000))+1.5,"&lt; 0"))</f>
        <v>4.1737873154729108</v>
      </c>
      <c r="D12" s="202" t="s">
        <v>229</v>
      </c>
    </row>
    <row r="13" spans="2:4" ht="27" x14ac:dyDescent="0.25">
      <c r="B13" s="183" t="s">
        <v>230</v>
      </c>
      <c r="C13" s="137">
        <f>IF(OR('Data Entry'!C10=0,'Data Entry'!C12=0),"Enter data",IFERROR(_xlfn.NORM.S.INV(1-(IFERROR(('Data Entry'!C11/('Data Entry'!C10*'Data Entry'!C12))*1000000,9999999)/1000000)),"&lt; 0"))</f>
        <v>2.6737873154729108</v>
      </c>
      <c r="D13" s="203" t="s">
        <v>231</v>
      </c>
    </row>
    <row r="14" spans="2:4" ht="40.5" x14ac:dyDescent="0.25">
      <c r="B14" s="182" t="s">
        <v>232</v>
      </c>
      <c r="C14" s="138">
        <f>IF(COUNTA('Data Entry'!C16:C115)&lt;2,"Need data",3*MIN(('Data Entry'!C6-AVERAGE('Data Entry'!C16:C115))/(3*STDEV('Data Entry'!C16:C115)),(AVERAGE('Data Entry'!C16:C115)-'Data Entry'!C7)/(3*STDEV('Data Entry'!C16:C115))))</f>
        <v>34.14558179750577</v>
      </c>
      <c r="D14" s="204" t="s">
        <v>233</v>
      </c>
    </row>
    <row r="15" spans="2:4" ht="27" x14ac:dyDescent="0.25">
      <c r="B15" s="183" t="s">
        <v>234</v>
      </c>
      <c r="C15" s="139">
        <f>IF(COUNTA('Data Entry'!C16:C115)&lt;2,"Need data",(1-(_xlfn.NORM.DIST('Data Entry'!C6,AVERAGE('Data Entry'!C16:C115),STDEV('Data Entry'!C16:C115),TRUE)-_xlfn.NORM.DIST('Data Entry'!C7,AVERAGE('Data Entry'!C16:C115),STDEV('Data Entry'!C16:C115),TRUE)))*1000000)</f>
        <v>0</v>
      </c>
      <c r="D15" s="203" t="s">
        <v>235</v>
      </c>
    </row>
    <row r="16" spans="2:4" x14ac:dyDescent="0.25">
      <c r="B16" s="182" t="s">
        <v>236</v>
      </c>
      <c r="C16" s="140">
        <f>IF(OR('Data Entry'!C10=0,'Data Entry'!C12=0),"Enter data",1-(IFERROR(('Data Entry'!C11/('Data Entry'!C10*'Data Entry'!C12))*1000000,9999999)/1000000))</f>
        <v>0.99624999999999997</v>
      </c>
      <c r="D16" s="204" t="s">
        <v>237</v>
      </c>
    </row>
    <row r="18" spans="2:6" ht="17.25" x14ac:dyDescent="0.3">
      <c r="B18" s="187" t="s">
        <v>238</v>
      </c>
    </row>
    <row r="19" spans="2:6" ht="47.25" x14ac:dyDescent="0.25">
      <c r="B19" s="141" t="str">
        <f>IF(OR('Data Entry'!C10=0,'Data Entry'!C12=0),"Enter data in the Data Entry tab to see your Sigma Level result here.",IF(IFERROR(_xlfn.NORM.S.INV(1-(IFERROR(('Data Entry'!C11/('Data Entry'!C10*'Data Entry'!C12))*1000000,9999999)/1000000))+1.5,0)&gt;=6,"🏆  SIX SIGMA (≥ 6σ) — Exceptional! Only 3.4 defects per million. World-class quality. Benchmark: Aerospace, Medical Devices.",IF(IFERROR(_xlfn.NORM.S.INV(1-(IFERROR(('Data Entry'!C11/('Data Entry'!C10*'Data Entry'!C12))*1000000,9999999)/1000000))+1.5,0)&gt;=5,"⭐  FIVE SIGMA (≥ 5σ) — Excellent! 233 DPMO. Near world-class. Benchmark: Leading automotive OEMs.",IF(IFERROR(_xlfn.NORM.S.INV(1-(IFERROR(('Data Entry'!C11/('Data Entry'!C10*'Data Entry'!C12))*1000000,9999999)/1000000))+1.5,0)&gt;=4,"✅  FOUR SIGMA (≥ 4σ) — Good. 6,210 DPMO. Industry standard. Benchmark: Most manufacturing sectors.",IF(IFERROR(_xlfn.NORM.S.INV(1-(IFERROR(('Data Entry'!C11/('Data Entry'!C10*'Data Entry'!C12))*1000000,9999999)/1000000))+1.5,0)&gt;=3,"⚠️  THREE SIGMA (≥ 3σ) — Marginal. 66,807 DPMO. Significant improvement opportunities. Common starting point for Six Sigma projects.",IF(IFERROR(_xlfn.NORM.S.INV(1-(IFERROR(('Data Entry'!C11/('Data Entry'!C10*'Data Entry'!C12))*1000000,9999999)/1000000))+1.5,0)&gt;=2,"⛔  TWO SIGMA (≥ 2σ) — Poor. 308,537 DPMO. Nearly 1-in-3 opportunities has a defect. Urgent action needed.","🚨  BELOW TWO SIGMA (&lt;2σ) — Critical. Process is fundamentally broken. Root cause analysis and redesign required immediately."))))))</f>
        <v>✅  FOUR SIGMA (≥ 4σ) — Good. 6,210 DPMO. Industry standard. Benchmark: Most manufacturing sectors.</v>
      </c>
      <c r="C19" s="141"/>
      <c r="D19" s="141"/>
    </row>
    <row r="21" spans="2:6" ht="34.5" x14ac:dyDescent="0.3">
      <c r="B21" s="185" t="s">
        <v>239</v>
      </c>
    </row>
    <row r="22" spans="2:6" x14ac:dyDescent="0.25">
      <c r="B22" s="188" t="s">
        <v>240</v>
      </c>
      <c r="C22" s="142" t="s">
        <v>50</v>
      </c>
      <c r="D22" s="188" t="s">
        <v>52</v>
      </c>
      <c r="E22" s="142" t="s">
        <v>51</v>
      </c>
      <c r="F22" s="142" t="s">
        <v>241</v>
      </c>
    </row>
    <row r="23" spans="2:6" x14ac:dyDescent="0.25">
      <c r="B23" s="189" t="s">
        <v>242</v>
      </c>
      <c r="C23" s="144">
        <v>691462</v>
      </c>
      <c r="D23" s="205">
        <v>0.3085</v>
      </c>
      <c r="E23" s="145">
        <v>0.6915</v>
      </c>
      <c r="F23" s="143" t="s">
        <v>243</v>
      </c>
    </row>
    <row r="24" spans="2:6" x14ac:dyDescent="0.25">
      <c r="B24" s="190" t="s">
        <v>244</v>
      </c>
      <c r="C24" s="147">
        <v>500000</v>
      </c>
      <c r="D24" s="206">
        <v>0.5</v>
      </c>
      <c r="E24" s="148">
        <v>0.5</v>
      </c>
      <c r="F24" s="146" t="s">
        <v>245</v>
      </c>
    </row>
    <row r="25" spans="2:6" x14ac:dyDescent="0.25">
      <c r="B25" s="191" t="s">
        <v>246</v>
      </c>
      <c r="C25" s="150">
        <v>308538</v>
      </c>
      <c r="D25" s="207">
        <v>0.6915</v>
      </c>
      <c r="E25" s="151">
        <v>0.3085</v>
      </c>
      <c r="F25" s="149" t="s">
        <v>247</v>
      </c>
    </row>
    <row r="26" spans="2:6" x14ac:dyDescent="0.25">
      <c r="B26" s="192" t="s">
        <v>248</v>
      </c>
      <c r="C26" s="153">
        <v>158655</v>
      </c>
      <c r="D26" s="208">
        <v>0.84130000000000005</v>
      </c>
      <c r="E26" s="154">
        <v>0.15870000000000001</v>
      </c>
      <c r="F26" s="152" t="s">
        <v>249</v>
      </c>
    </row>
    <row r="27" spans="2:6" x14ac:dyDescent="0.25">
      <c r="B27" s="193" t="s">
        <v>250</v>
      </c>
      <c r="C27" s="156">
        <v>66807</v>
      </c>
      <c r="D27" s="209">
        <v>0.93320000000000003</v>
      </c>
      <c r="E27" s="157">
        <v>6.6799999999999998E-2</v>
      </c>
      <c r="F27" s="155" t="s">
        <v>251</v>
      </c>
    </row>
    <row r="28" spans="2:6" x14ac:dyDescent="0.25">
      <c r="B28" s="193" t="s">
        <v>252</v>
      </c>
      <c r="C28" s="156">
        <v>22750</v>
      </c>
      <c r="D28" s="209">
        <v>0.97729999999999995</v>
      </c>
      <c r="E28" s="157">
        <v>2.2700000000000001E-2</v>
      </c>
      <c r="F28" s="155" t="s">
        <v>253</v>
      </c>
    </row>
    <row r="29" spans="2:6" x14ac:dyDescent="0.25">
      <c r="B29" s="194" t="s">
        <v>254</v>
      </c>
      <c r="C29" s="159">
        <v>6210</v>
      </c>
      <c r="D29" s="210">
        <v>0.99380000000000002</v>
      </c>
      <c r="E29" s="160">
        <v>6.1999999999999998E-3</v>
      </c>
      <c r="F29" s="158" t="s">
        <v>255</v>
      </c>
    </row>
    <row r="30" spans="2:6" x14ac:dyDescent="0.25">
      <c r="B30" s="195" t="s">
        <v>256</v>
      </c>
      <c r="C30" s="162">
        <v>1350</v>
      </c>
      <c r="D30" s="211">
        <v>0.99870000000000003</v>
      </c>
      <c r="E30" s="163">
        <v>1.2999999999999999E-3</v>
      </c>
      <c r="F30" s="161" t="s">
        <v>257</v>
      </c>
    </row>
    <row r="31" spans="2:6" x14ac:dyDescent="0.25">
      <c r="B31" s="196" t="s">
        <v>258</v>
      </c>
      <c r="C31" s="164">
        <v>233</v>
      </c>
      <c r="D31" s="212">
        <v>0.99977000000000005</v>
      </c>
      <c r="E31" s="176">
        <v>2.3000000000000001E-4</v>
      </c>
      <c r="F31" s="164" t="s">
        <v>259</v>
      </c>
    </row>
    <row r="32" spans="2:6" x14ac:dyDescent="0.25">
      <c r="B32" s="197" t="s">
        <v>260</v>
      </c>
      <c r="C32" s="165">
        <v>32</v>
      </c>
      <c r="D32" s="213">
        <v>0.99997000000000003</v>
      </c>
      <c r="E32" s="177">
        <v>3.0000000000000001E-5</v>
      </c>
      <c r="F32" s="165" t="s">
        <v>261</v>
      </c>
    </row>
    <row r="33" spans="2:6" x14ac:dyDescent="0.25">
      <c r="B33" s="198" t="s">
        <v>262</v>
      </c>
      <c r="C33" s="166">
        <v>3.4</v>
      </c>
      <c r="D33" s="214">
        <v>0.99999660000000001</v>
      </c>
      <c r="E33" s="178">
        <v>3.4000000000000001E-6</v>
      </c>
      <c r="F33" s="166" t="s">
        <v>263</v>
      </c>
    </row>
    <row r="35" spans="2:6" ht="17.25" x14ac:dyDescent="0.3">
      <c r="B35" s="187" t="s">
        <v>264</v>
      </c>
    </row>
    <row r="36" spans="2:6" x14ac:dyDescent="0.25">
      <c r="B36" s="199" t="s">
        <v>265</v>
      </c>
      <c r="C36" s="18" t="s">
        <v>266</v>
      </c>
      <c r="D36" s="199" t="s">
        <v>267</v>
      </c>
    </row>
    <row r="37" spans="2:6" ht="40.5" x14ac:dyDescent="0.25">
      <c r="B37" s="200" t="s">
        <v>268</v>
      </c>
      <c r="C37" s="167" t="s">
        <v>269</v>
      </c>
      <c r="D37" s="168" t="s">
        <v>270</v>
      </c>
    </row>
    <row r="38" spans="2:6" ht="27" x14ac:dyDescent="0.25">
      <c r="B38" s="201" t="s">
        <v>269</v>
      </c>
      <c r="C38" s="169" t="s">
        <v>271</v>
      </c>
      <c r="D38" s="170" t="s">
        <v>272</v>
      </c>
    </row>
    <row r="39" spans="2:6" ht="27" x14ac:dyDescent="0.25">
      <c r="B39" s="200" t="s">
        <v>271</v>
      </c>
      <c r="C39" s="167" t="s">
        <v>273</v>
      </c>
      <c r="D39" s="168" t="s">
        <v>274</v>
      </c>
    </row>
    <row r="40" spans="2:6" ht="27" x14ac:dyDescent="0.25">
      <c r="B40" s="201" t="s">
        <v>273</v>
      </c>
      <c r="C40" s="169" t="s">
        <v>275</v>
      </c>
      <c r="D40" s="170" t="s">
        <v>276</v>
      </c>
    </row>
    <row r="41" spans="2:6" ht="27" x14ac:dyDescent="0.25">
      <c r="B41" s="200" t="s">
        <v>275</v>
      </c>
      <c r="C41" s="167" t="s">
        <v>277</v>
      </c>
      <c r="D41" s="168" t="s">
        <v>278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How to Use</vt:lpstr>
      <vt:lpstr>Data Entry</vt:lpstr>
      <vt:lpstr>Standard Deviation</vt:lpstr>
      <vt:lpstr>Process Capability</vt:lpstr>
      <vt:lpstr>DPMO · DPM · DPU</vt:lpstr>
      <vt:lpstr>Sigma Level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Rodgers</dc:creator>
  <cp:lastModifiedBy>David Rodgers</cp:lastModifiedBy>
  <dcterms:created xsi:type="dcterms:W3CDTF">2026-04-18T17:47:54Z</dcterms:created>
  <dcterms:modified xsi:type="dcterms:W3CDTF">2026-04-18T19:17:52Z</dcterms:modified>
</cp:coreProperties>
</file>